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DieseArbeitsmappe" defaultThemeVersion="166925"/>
  <mc:AlternateContent xmlns:mc="http://schemas.openxmlformats.org/markup-compatibility/2006">
    <mc:Choice Requires="x15">
      <x15ac:absPath xmlns:x15ac="http://schemas.microsoft.com/office/spreadsheetml/2010/11/ac" url="C:\Users\david\Desktop\Tools\"/>
    </mc:Choice>
  </mc:AlternateContent>
  <xr:revisionPtr revIDLastSave="0" documentId="13_ncr:1_{0E8EC4F2-D1B9-41A3-BC8B-A9CB188D3642}" xr6:coauthVersionLast="47" xr6:coauthVersionMax="47" xr10:uidLastSave="{00000000-0000-0000-0000-000000000000}"/>
  <bookViews>
    <workbookView xWindow="6876" yWindow="696" windowWidth="31356" windowHeight="15864" xr2:uid="{F65B2D5C-02CC-473C-8321-DEF209F3F5CD}"/>
  </bookViews>
  <sheets>
    <sheet name="Start" sheetId="10" r:id="rId1"/>
    <sheet name="GAIRA Light E" sheetId="9" r:id="rId2"/>
    <sheet name="GAIRA Light D" sheetId="13" r:id="rId3"/>
    <sheet name="GAIRA Comprehensive E" sheetId="5" r:id="rId4"/>
    <sheet name="GAIRA Comprehensive D" sheetId="18" r:id="rId5"/>
    <sheet name="AI Act Check E" sheetId="11" r:id="rId6"/>
    <sheet name="AI Act Check D" sheetId="17" r:id="rId7"/>
    <sheet name="Compliance Check E" sheetId="3" r:id="rId8"/>
    <sheet name="ROAIA E" sheetId="6" r:id="rId9"/>
    <sheet name="ROAIA D" sheetId="15" r:id="rId10"/>
    <sheet name="AI Act E" sheetId="7" r:id="rId11"/>
    <sheet name="AI Act D" sheetId="14" r:id="rId12"/>
    <sheet name="Changelog" sheetId="8" r:id="rId13"/>
  </sheets>
  <definedNames>
    <definedName name="_xlnm._FilterDatabase" localSheetId="7" hidden="1">'Compliance Check E'!$G$71:$G$111</definedName>
    <definedName name="_xlnm.Print_Area" localSheetId="6">'AI Act Check D'!$A$1:$H$107</definedName>
    <definedName name="_xlnm.Print_Area" localSheetId="5">'AI Act Check E'!$A$1:$H$107</definedName>
    <definedName name="_xlnm.Print_Area" localSheetId="11">'AI Act D'!$A$1:$F$52</definedName>
    <definedName name="_xlnm.Print_Area" localSheetId="10">'AI Act E'!$A$1:$F$52</definedName>
    <definedName name="_xlnm.Print_Area" localSheetId="7">'Compliance Check E'!$A$1:$H$119</definedName>
    <definedName name="_xlnm.Print_Area" localSheetId="4">'GAIRA Comprehensive D'!$A$1:$U$266</definedName>
    <definedName name="_xlnm.Print_Area" localSheetId="3">'GAIRA Comprehensive E'!$A$1:$U$266</definedName>
    <definedName name="_xlnm.Print_Area" localSheetId="2">'GAIRA Light D'!$A$1:$K$252</definedName>
    <definedName name="_xlnm.Print_Area" localSheetId="1">'GAIRA Light E'!$A$1:$K$252</definedName>
    <definedName name="_xlnm.Print_Area" localSheetId="9">'ROAIA D'!$A$1:$O$28</definedName>
    <definedName name="_xlnm.Print_Area" localSheetId="8">'ROAIA E'!$A$1:$O$28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4" i="13" l="1"/>
  <c r="K213" i="13"/>
  <c r="K212" i="13"/>
  <c r="K211" i="13"/>
  <c r="K210" i="13"/>
  <c r="K209" i="13"/>
  <c r="K208" i="13"/>
  <c r="K207" i="13"/>
  <c r="K206" i="13"/>
  <c r="K205" i="13"/>
  <c r="K204" i="13"/>
  <c r="K203" i="13"/>
  <c r="K202" i="13"/>
  <c r="K201" i="13"/>
  <c r="K200" i="13"/>
  <c r="K199" i="13"/>
  <c r="K198" i="13"/>
  <c r="K197" i="13"/>
  <c r="K196" i="13"/>
  <c r="K195" i="13"/>
  <c r="K194" i="13"/>
  <c r="K193" i="13"/>
  <c r="K192" i="13"/>
  <c r="K191" i="13"/>
  <c r="K190" i="13"/>
  <c r="K189" i="13"/>
  <c r="K188" i="13"/>
  <c r="K187" i="13"/>
  <c r="K186" i="13"/>
  <c r="K185" i="13"/>
  <c r="K184" i="13"/>
  <c r="K183" i="13"/>
  <c r="K182" i="13"/>
  <c r="K181" i="13"/>
  <c r="K180" i="13"/>
  <c r="K179" i="13"/>
  <c r="K178" i="13"/>
  <c r="K177" i="13"/>
  <c r="K176" i="13"/>
  <c r="K175" i="13"/>
  <c r="K174" i="13"/>
  <c r="K173" i="13"/>
  <c r="K172" i="13"/>
  <c r="K171" i="13"/>
  <c r="K170" i="13"/>
  <c r="K169" i="13"/>
  <c r="K168" i="13"/>
  <c r="K167" i="13"/>
  <c r="K168" i="9"/>
  <c r="K169" i="9"/>
  <c r="K167" i="9"/>
  <c r="K166"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F1" i="14"/>
  <c r="F1" i="7"/>
  <c r="R194" i="18"/>
  <c r="R193" i="18"/>
  <c r="R192" i="18"/>
  <c r="R191" i="18"/>
  <c r="R190" i="18"/>
  <c r="R189" i="18"/>
  <c r="R188" i="18"/>
  <c r="R187" i="18"/>
  <c r="R186" i="18"/>
  <c r="R185" i="18"/>
  <c r="R184" i="18"/>
  <c r="R183" i="18"/>
  <c r="R182" i="18"/>
  <c r="R181" i="18"/>
  <c r="R180" i="18"/>
  <c r="R179" i="18"/>
  <c r="R178" i="18"/>
  <c r="R177" i="18"/>
  <c r="R176" i="18"/>
  <c r="R175" i="18"/>
  <c r="R174" i="18"/>
  <c r="R173" i="18"/>
  <c r="R172" i="18"/>
  <c r="R171" i="18"/>
  <c r="R170" i="18"/>
  <c r="R168" i="18"/>
  <c r="R167" i="18"/>
  <c r="R166" i="18"/>
  <c r="R165" i="18"/>
  <c r="R164" i="18"/>
  <c r="R163" i="18"/>
  <c r="R162" i="18"/>
  <c r="R161" i="18"/>
  <c r="R160" i="18"/>
  <c r="R159" i="18"/>
  <c r="R158" i="18"/>
  <c r="R157" i="18"/>
  <c r="R156" i="18"/>
  <c r="R155" i="18"/>
  <c r="R153" i="18"/>
  <c r="R152" i="18"/>
  <c r="R151" i="18"/>
  <c r="R150" i="18"/>
  <c r="R149" i="18"/>
  <c r="R148" i="18"/>
  <c r="R147" i="18"/>
  <c r="R146" i="18"/>
  <c r="R145" i="18"/>
  <c r="R144" i="18"/>
  <c r="R143" i="18"/>
  <c r="R141" i="18"/>
  <c r="R140" i="18"/>
  <c r="R139" i="18"/>
  <c r="R138" i="18"/>
  <c r="R137" i="18"/>
  <c r="R136" i="18"/>
  <c r="R135" i="18"/>
  <c r="R134" i="18"/>
  <c r="R133" i="18"/>
  <c r="R132" i="18"/>
  <c r="R131" i="18"/>
  <c r="R130" i="18"/>
  <c r="R129" i="18"/>
  <c r="R128" i="18"/>
  <c r="R127" i="18"/>
  <c r="R126" i="18"/>
  <c r="R125" i="18"/>
  <c r="R124" i="18"/>
  <c r="R123" i="18"/>
  <c r="R122" i="18"/>
  <c r="R120" i="18"/>
  <c r="R119" i="18"/>
  <c r="R118" i="18"/>
  <c r="R117" i="18"/>
  <c r="R116" i="18"/>
  <c r="R115" i="18"/>
  <c r="R114" i="18"/>
  <c r="R113" i="18"/>
  <c r="R112" i="18"/>
  <c r="R111" i="18"/>
  <c r="R110" i="18"/>
  <c r="R109" i="18"/>
  <c r="R108" i="18"/>
  <c r="R107" i="18"/>
  <c r="R106" i="18"/>
  <c r="R105" i="18"/>
  <c r="R104" i="18"/>
  <c r="D249" i="18" s="1"/>
  <c r="D259" i="18"/>
  <c r="A245" i="18" l="1"/>
  <c r="A246" i="18" s="1"/>
  <c r="K237" i="18"/>
  <c r="J237" i="18"/>
  <c r="I237" i="18"/>
  <c r="H237" i="18"/>
  <c r="K236" i="18"/>
  <c r="J236" i="18"/>
  <c r="I236" i="18"/>
  <c r="H236" i="18"/>
  <c r="K235" i="18"/>
  <c r="J235" i="18"/>
  <c r="I235" i="18"/>
  <c r="H235" i="18"/>
  <c r="K234" i="18"/>
  <c r="J234" i="18"/>
  <c r="I234" i="18"/>
  <c r="H234" i="18"/>
  <c r="K230" i="18"/>
  <c r="J230" i="18"/>
  <c r="I230" i="18"/>
  <c r="H230" i="18"/>
  <c r="K229" i="18"/>
  <c r="J229" i="18"/>
  <c r="I229" i="18"/>
  <c r="H229" i="18"/>
  <c r="K228" i="18"/>
  <c r="J228" i="18"/>
  <c r="I228" i="18"/>
  <c r="H228" i="18"/>
  <c r="K227" i="18"/>
  <c r="J227" i="18"/>
  <c r="I227" i="18"/>
  <c r="H227" i="18"/>
  <c r="K223" i="18"/>
  <c r="J223" i="18"/>
  <c r="I223" i="18"/>
  <c r="H223" i="18"/>
  <c r="K222" i="18"/>
  <c r="J222" i="18"/>
  <c r="I222" i="18"/>
  <c r="H222" i="18"/>
  <c r="K221" i="18"/>
  <c r="J221" i="18"/>
  <c r="I221" i="18"/>
  <c r="H221" i="18"/>
  <c r="K220" i="18"/>
  <c r="J220" i="18"/>
  <c r="I220" i="18"/>
  <c r="H220" i="18"/>
  <c r="K216" i="18"/>
  <c r="J216" i="18"/>
  <c r="I216" i="18"/>
  <c r="H216" i="18"/>
  <c r="K215" i="18"/>
  <c r="J215" i="18"/>
  <c r="I215" i="18"/>
  <c r="H215" i="18"/>
  <c r="K214" i="18"/>
  <c r="J214" i="18"/>
  <c r="I214" i="18"/>
  <c r="H214" i="18"/>
  <c r="K213" i="18"/>
  <c r="J213" i="18"/>
  <c r="I213" i="18"/>
  <c r="H213" i="18"/>
  <c r="K209" i="18"/>
  <c r="J209" i="18"/>
  <c r="I209" i="18"/>
  <c r="H209" i="18"/>
  <c r="K208" i="18"/>
  <c r="J208" i="18"/>
  <c r="I208" i="18"/>
  <c r="H208" i="18"/>
  <c r="K207" i="18"/>
  <c r="J207" i="18"/>
  <c r="I207" i="18"/>
  <c r="H207" i="18"/>
  <c r="K206" i="18"/>
  <c r="J206" i="18"/>
  <c r="I206" i="18"/>
  <c r="H206" i="18"/>
  <c r="BI194" i="18"/>
  <c r="BJ194" i="18" s="1"/>
  <c r="BG194" i="18"/>
  <c r="BH194" i="18" s="1"/>
  <c r="BE194" i="18"/>
  <c r="BF194" i="18" s="1"/>
  <c r="BC194" i="18"/>
  <c r="BD194" i="18" s="1"/>
  <c r="BA194" i="18"/>
  <c r="BB194" i="18" s="1"/>
  <c r="AY194" i="18"/>
  <c r="AZ194" i="18" s="1"/>
  <c r="AW194" i="18"/>
  <c r="AX194" i="18" s="1"/>
  <c r="AU194" i="18"/>
  <c r="AV194" i="18" s="1"/>
  <c r="AS194" i="18"/>
  <c r="AT194" i="18" s="1"/>
  <c r="AQ194" i="18"/>
  <c r="AR194" i="18" s="1"/>
  <c r="AO194" i="18"/>
  <c r="AP194" i="18" s="1"/>
  <c r="AM194" i="18"/>
  <c r="AN194" i="18" s="1"/>
  <c r="AG194" i="18"/>
  <c r="Q194" i="18"/>
  <c r="N194" i="18"/>
  <c r="L194" i="18"/>
  <c r="J194" i="18"/>
  <c r="H194" i="18"/>
  <c r="A194" i="18"/>
  <c r="BI193" i="18"/>
  <c r="BJ193" i="18" s="1"/>
  <c r="BG193" i="18"/>
  <c r="BH193" i="18" s="1"/>
  <c r="BE193" i="18"/>
  <c r="BF193" i="18" s="1"/>
  <c r="BC193" i="18"/>
  <c r="BD193" i="18" s="1"/>
  <c r="BA193" i="18"/>
  <c r="BB193" i="18" s="1"/>
  <c r="AY193" i="18"/>
  <c r="AZ193" i="18" s="1"/>
  <c r="AW193" i="18"/>
  <c r="AX193" i="18" s="1"/>
  <c r="AU193" i="18"/>
  <c r="AV193" i="18" s="1"/>
  <c r="AS193" i="18"/>
  <c r="AT193" i="18" s="1"/>
  <c r="AQ193" i="18"/>
  <c r="AR193" i="18" s="1"/>
  <c r="AO193" i="18"/>
  <c r="AP193" i="18" s="1"/>
  <c r="AM193" i="18"/>
  <c r="AN193" i="18" s="1"/>
  <c r="AG193" i="18"/>
  <c r="Q193" i="18"/>
  <c r="N193" i="18"/>
  <c r="L193" i="18"/>
  <c r="J193" i="18"/>
  <c r="H193" i="18"/>
  <c r="A193" i="18"/>
  <c r="BI192" i="18"/>
  <c r="BJ192" i="18" s="1"/>
  <c r="BG192" i="18"/>
  <c r="BH192" i="18" s="1"/>
  <c r="BE192" i="18"/>
  <c r="BF192" i="18" s="1"/>
  <c r="BC192" i="18"/>
  <c r="BD192" i="18" s="1"/>
  <c r="BA192" i="18"/>
  <c r="BB192" i="18" s="1"/>
  <c r="AY192" i="18"/>
  <c r="AZ192" i="18" s="1"/>
  <c r="AW192" i="18"/>
  <c r="AX192" i="18" s="1"/>
  <c r="AU192" i="18"/>
  <c r="AV192" i="18" s="1"/>
  <c r="AS192" i="18"/>
  <c r="AT192" i="18" s="1"/>
  <c r="AQ192" i="18"/>
  <c r="AR192" i="18" s="1"/>
  <c r="AO192" i="18"/>
  <c r="AP192" i="18" s="1"/>
  <c r="AM192" i="18"/>
  <c r="AN192" i="18" s="1"/>
  <c r="AG192" i="18"/>
  <c r="Q192" i="18"/>
  <c r="N192" i="18"/>
  <c r="L192" i="18"/>
  <c r="J192" i="18"/>
  <c r="H192" i="18"/>
  <c r="A192" i="18"/>
  <c r="BI191" i="18"/>
  <c r="BJ191" i="18" s="1"/>
  <c r="BG191" i="18"/>
  <c r="BH191" i="18" s="1"/>
  <c r="BE191" i="18"/>
  <c r="BF191" i="18" s="1"/>
  <c r="BC191" i="18"/>
  <c r="BD191" i="18" s="1"/>
  <c r="BA191" i="18"/>
  <c r="BB191" i="18" s="1"/>
  <c r="AY191" i="18"/>
  <c r="AZ191" i="18" s="1"/>
  <c r="AW191" i="18"/>
  <c r="AX191" i="18" s="1"/>
  <c r="AU191" i="18"/>
  <c r="AV191" i="18" s="1"/>
  <c r="AS191" i="18"/>
  <c r="AT191" i="18" s="1"/>
  <c r="AQ191" i="18"/>
  <c r="AR191" i="18" s="1"/>
  <c r="AO191" i="18"/>
  <c r="AP191" i="18" s="1"/>
  <c r="AM191" i="18"/>
  <c r="AN191" i="18" s="1"/>
  <c r="AG191" i="18"/>
  <c r="Q191" i="18"/>
  <c r="N191" i="18"/>
  <c r="L191" i="18"/>
  <c r="J191" i="18"/>
  <c r="H191" i="18"/>
  <c r="A191" i="18"/>
  <c r="BI190" i="18"/>
  <c r="BJ190" i="18" s="1"/>
  <c r="BG190" i="18"/>
  <c r="BH190" i="18" s="1"/>
  <c r="BC190" i="18"/>
  <c r="BD190" i="18" s="1"/>
  <c r="BA190" i="18"/>
  <c r="BB190" i="18" s="1"/>
  <c r="AY190" i="18"/>
  <c r="AZ190" i="18" s="1"/>
  <c r="AW190" i="18"/>
  <c r="AX190" i="18" s="1"/>
  <c r="AU190" i="18"/>
  <c r="AV190" i="18" s="1"/>
  <c r="AQ190" i="18"/>
  <c r="AR190" i="18" s="1"/>
  <c r="AO190" i="18"/>
  <c r="AP190" i="18" s="1"/>
  <c r="AM190" i="18"/>
  <c r="AN190" i="18" s="1"/>
  <c r="AG190" i="18"/>
  <c r="Q190" i="18"/>
  <c r="N190" i="18"/>
  <c r="L190" i="18"/>
  <c r="J190" i="18"/>
  <c r="BE190" i="18" s="1"/>
  <c r="BF190" i="18" s="1"/>
  <c r="H190" i="18"/>
  <c r="AS190" i="18" s="1"/>
  <c r="AT190" i="18" s="1"/>
  <c r="BI189" i="18"/>
  <c r="BJ189" i="18" s="1"/>
  <c r="BG189" i="18"/>
  <c r="BH189" i="18" s="1"/>
  <c r="BC189" i="18"/>
  <c r="BD189" i="18" s="1"/>
  <c r="BA189" i="18"/>
  <c r="BB189" i="18" s="1"/>
  <c r="AY189" i="18"/>
  <c r="AZ189" i="18" s="1"/>
  <c r="AW189" i="18"/>
  <c r="AX189" i="18" s="1"/>
  <c r="AU189" i="18"/>
  <c r="AV189" i="18" s="1"/>
  <c r="AQ189" i="18"/>
  <c r="AR189" i="18" s="1"/>
  <c r="AO189" i="18"/>
  <c r="AP189" i="18" s="1"/>
  <c r="AM189" i="18"/>
  <c r="AN189" i="18" s="1"/>
  <c r="AG189" i="18"/>
  <c r="Q189" i="18"/>
  <c r="N189" i="18"/>
  <c r="L189" i="18"/>
  <c r="J189" i="18"/>
  <c r="BE189" i="18" s="1"/>
  <c r="BF189" i="18" s="1"/>
  <c r="H189" i="18"/>
  <c r="AS189" i="18" s="1"/>
  <c r="AT189" i="18" s="1"/>
  <c r="BI188" i="18"/>
  <c r="BJ188" i="18" s="1"/>
  <c r="BG188" i="18"/>
  <c r="BH188" i="18" s="1"/>
  <c r="BC188" i="18"/>
  <c r="BD188" i="18" s="1"/>
  <c r="BA188" i="18"/>
  <c r="BB188" i="18" s="1"/>
  <c r="AY188" i="18"/>
  <c r="AZ188" i="18" s="1"/>
  <c r="AW188" i="18"/>
  <c r="AX188" i="18" s="1"/>
  <c r="AU188" i="18"/>
  <c r="AV188" i="18" s="1"/>
  <c r="AQ188" i="18"/>
  <c r="AR188" i="18" s="1"/>
  <c r="AO188" i="18"/>
  <c r="AP188" i="18" s="1"/>
  <c r="AM188" i="18"/>
  <c r="AN188" i="18" s="1"/>
  <c r="AG188" i="18"/>
  <c r="Q188" i="18"/>
  <c r="N188" i="18"/>
  <c r="L188" i="18"/>
  <c r="J188" i="18"/>
  <c r="BE188" i="18" s="1"/>
  <c r="BF188" i="18" s="1"/>
  <c r="H188" i="18"/>
  <c r="AS188" i="18" s="1"/>
  <c r="AT188" i="18" s="1"/>
  <c r="BI187" i="18"/>
  <c r="BJ187" i="18" s="1"/>
  <c r="BG187" i="18"/>
  <c r="BH187" i="18" s="1"/>
  <c r="BE187" i="18"/>
  <c r="BF187" i="18" s="1"/>
  <c r="BC187" i="18"/>
  <c r="BD187" i="18" s="1"/>
  <c r="BA187" i="18"/>
  <c r="BB187" i="18" s="1"/>
  <c r="AW187" i="18"/>
  <c r="AX187" i="18" s="1"/>
  <c r="AU187" i="18"/>
  <c r="AV187" i="18" s="1"/>
  <c r="AS187" i="18"/>
  <c r="AT187" i="18" s="1"/>
  <c r="AQ187" i="18"/>
  <c r="AR187" i="18" s="1"/>
  <c r="AO187" i="18"/>
  <c r="AP187" i="18" s="1"/>
  <c r="AG187" i="18"/>
  <c r="Q187" i="18"/>
  <c r="N187" i="18"/>
  <c r="L187" i="18"/>
  <c r="J187" i="18"/>
  <c r="AY187" i="18" s="1"/>
  <c r="AZ187" i="18" s="1"/>
  <c r="H187" i="18"/>
  <c r="AM187" i="18" s="1"/>
  <c r="AN187" i="18" s="1"/>
  <c r="BI186" i="18"/>
  <c r="BJ186" i="18" s="1"/>
  <c r="BG186" i="18"/>
  <c r="BH186" i="18" s="1"/>
  <c r="BE186" i="18"/>
  <c r="BF186" i="18" s="1"/>
  <c r="BC186" i="18"/>
  <c r="BD186" i="18" s="1"/>
  <c r="AW186" i="18"/>
  <c r="AX186" i="18" s="1"/>
  <c r="AU186" i="18"/>
  <c r="AV186" i="18" s="1"/>
  <c r="AS186" i="18"/>
  <c r="AT186" i="18" s="1"/>
  <c r="AQ186" i="18"/>
  <c r="AR186" i="18" s="1"/>
  <c r="AG186" i="18"/>
  <c r="Q186" i="18"/>
  <c r="N186" i="18"/>
  <c r="L186" i="18"/>
  <c r="J186" i="18"/>
  <c r="AY186" i="18" s="1"/>
  <c r="AZ186" i="18" s="1"/>
  <c r="H186" i="18"/>
  <c r="AO186" i="18" s="1"/>
  <c r="AP186" i="18" s="1"/>
  <c r="BI185" i="18"/>
  <c r="BJ185" i="18" s="1"/>
  <c r="BG185" i="18"/>
  <c r="BH185" i="18" s="1"/>
  <c r="BE185" i="18"/>
  <c r="BF185" i="18" s="1"/>
  <c r="BC185" i="18"/>
  <c r="BD185" i="18" s="1"/>
  <c r="BA185" i="18"/>
  <c r="BB185" i="18" s="1"/>
  <c r="AW185" i="18"/>
  <c r="AX185" i="18" s="1"/>
  <c r="AU185" i="18"/>
  <c r="AV185" i="18" s="1"/>
  <c r="AS185" i="18"/>
  <c r="AT185" i="18" s="1"/>
  <c r="AQ185" i="18"/>
  <c r="AR185" i="18" s="1"/>
  <c r="AO185" i="18"/>
  <c r="AP185" i="18" s="1"/>
  <c r="AG185" i="18"/>
  <c r="Q185" i="18"/>
  <c r="N185" i="18"/>
  <c r="L185" i="18"/>
  <c r="J185" i="18"/>
  <c r="AY185" i="18" s="1"/>
  <c r="AZ185" i="18" s="1"/>
  <c r="H185" i="18"/>
  <c r="AM185" i="18" s="1"/>
  <c r="AN185" i="18" s="1"/>
  <c r="BI184" i="18"/>
  <c r="BJ184" i="18" s="1"/>
  <c r="BG184" i="18"/>
  <c r="BH184" i="18" s="1"/>
  <c r="BE184" i="18"/>
  <c r="BF184" i="18" s="1"/>
  <c r="BC184" i="18"/>
  <c r="BD184" i="18" s="1"/>
  <c r="BA184" i="18"/>
  <c r="BB184" i="18" s="1"/>
  <c r="AW184" i="18"/>
  <c r="AX184" i="18" s="1"/>
  <c r="AU184" i="18"/>
  <c r="AV184" i="18" s="1"/>
  <c r="AS184" i="18"/>
  <c r="AT184" i="18" s="1"/>
  <c r="AQ184" i="18"/>
  <c r="AR184" i="18" s="1"/>
  <c r="AO184" i="18"/>
  <c r="AP184" i="18" s="1"/>
  <c r="AG184" i="18"/>
  <c r="Q184" i="18"/>
  <c r="N184" i="18"/>
  <c r="L184" i="18"/>
  <c r="J184" i="18"/>
  <c r="AY184" i="18" s="1"/>
  <c r="AZ184" i="18" s="1"/>
  <c r="H184" i="18"/>
  <c r="AM184" i="18" s="1"/>
  <c r="AN184" i="18" s="1"/>
  <c r="BI183" i="18"/>
  <c r="BJ183" i="18" s="1"/>
  <c r="BG183" i="18"/>
  <c r="BH183" i="18" s="1"/>
  <c r="BE183" i="18"/>
  <c r="BF183" i="18" s="1"/>
  <c r="BC183" i="18"/>
  <c r="BD183" i="18" s="1"/>
  <c r="BA183" i="18"/>
  <c r="BB183" i="18" s="1"/>
  <c r="AW183" i="18"/>
  <c r="AX183" i="18" s="1"/>
  <c r="AU183" i="18"/>
  <c r="AV183" i="18" s="1"/>
  <c r="AS183" i="18"/>
  <c r="AT183" i="18" s="1"/>
  <c r="AQ183" i="18"/>
  <c r="AR183" i="18" s="1"/>
  <c r="AO183" i="18"/>
  <c r="AP183" i="18" s="1"/>
  <c r="AG183" i="18"/>
  <c r="Q183" i="18"/>
  <c r="N183" i="18"/>
  <c r="L183" i="18"/>
  <c r="J183" i="18"/>
  <c r="AY183" i="18" s="1"/>
  <c r="AZ183" i="18" s="1"/>
  <c r="H183" i="18"/>
  <c r="AM183" i="18" s="1"/>
  <c r="AN183" i="18" s="1"/>
  <c r="BI182" i="18"/>
  <c r="BJ182" i="18" s="1"/>
  <c r="BG182" i="18"/>
  <c r="BH182" i="18" s="1"/>
  <c r="BE182" i="18"/>
  <c r="BF182" i="18" s="1"/>
  <c r="BC182" i="18"/>
  <c r="BD182" i="18" s="1"/>
  <c r="AW182" i="18"/>
  <c r="AX182" i="18" s="1"/>
  <c r="AU182" i="18"/>
  <c r="AV182" i="18" s="1"/>
  <c r="AS182" i="18"/>
  <c r="AT182" i="18" s="1"/>
  <c r="AQ182" i="18"/>
  <c r="AR182" i="18" s="1"/>
  <c r="AG182" i="18"/>
  <c r="Q182" i="18"/>
  <c r="N182" i="18"/>
  <c r="L182" i="18"/>
  <c r="J182" i="18"/>
  <c r="H182" i="18"/>
  <c r="AO182" i="18" s="1"/>
  <c r="AP182" i="18" s="1"/>
  <c r="BI181" i="18"/>
  <c r="BJ181" i="18" s="1"/>
  <c r="BG181" i="18"/>
  <c r="BH181" i="18" s="1"/>
  <c r="BE181" i="18"/>
  <c r="BF181" i="18" s="1"/>
  <c r="BC181" i="18"/>
  <c r="BD181" i="18" s="1"/>
  <c r="BA181" i="18"/>
  <c r="BB181" i="18" s="1"/>
  <c r="AW181" i="18"/>
  <c r="AX181" i="18" s="1"/>
  <c r="AU181" i="18"/>
  <c r="AV181" i="18" s="1"/>
  <c r="AS181" i="18"/>
  <c r="AT181" i="18" s="1"/>
  <c r="AQ181" i="18"/>
  <c r="AR181" i="18" s="1"/>
  <c r="AO181" i="18"/>
  <c r="AP181" i="18" s="1"/>
  <c r="AG181" i="18"/>
  <c r="Q181" i="18"/>
  <c r="N181" i="18"/>
  <c r="L181" i="18"/>
  <c r="J181" i="18"/>
  <c r="AY181" i="18" s="1"/>
  <c r="AZ181" i="18" s="1"/>
  <c r="H181" i="18"/>
  <c r="AM181" i="18" s="1"/>
  <c r="AN181" i="18" s="1"/>
  <c r="BI180" i="18"/>
  <c r="BJ180" i="18" s="1"/>
  <c r="BG180" i="18"/>
  <c r="BH180" i="18" s="1"/>
  <c r="BE180" i="18"/>
  <c r="BF180" i="18" s="1"/>
  <c r="BC180" i="18"/>
  <c r="BD180" i="18" s="1"/>
  <c r="BA180" i="18"/>
  <c r="BB180" i="18" s="1"/>
  <c r="AW180" i="18"/>
  <c r="AX180" i="18" s="1"/>
  <c r="AU180" i="18"/>
  <c r="AV180" i="18" s="1"/>
  <c r="AS180" i="18"/>
  <c r="AT180" i="18" s="1"/>
  <c r="AQ180" i="18"/>
  <c r="AR180" i="18" s="1"/>
  <c r="AO180" i="18"/>
  <c r="AP180" i="18" s="1"/>
  <c r="AG180" i="18"/>
  <c r="Q180" i="18"/>
  <c r="N180" i="18"/>
  <c r="L180" i="18"/>
  <c r="J180" i="18"/>
  <c r="AY180" i="18" s="1"/>
  <c r="AZ180" i="18" s="1"/>
  <c r="H180" i="18"/>
  <c r="AM180" i="18" s="1"/>
  <c r="AN180" i="18" s="1"/>
  <c r="BI179" i="18"/>
  <c r="BJ179" i="18" s="1"/>
  <c r="BG179" i="18"/>
  <c r="BH179" i="18" s="1"/>
  <c r="BE179" i="18"/>
  <c r="BF179" i="18" s="1"/>
  <c r="BC179" i="18"/>
  <c r="BD179" i="18" s="1"/>
  <c r="BA179" i="18"/>
  <c r="BB179" i="18" s="1"/>
  <c r="AW179" i="18"/>
  <c r="AX179" i="18" s="1"/>
  <c r="AU179" i="18"/>
  <c r="AV179" i="18" s="1"/>
  <c r="AS179" i="18"/>
  <c r="AT179" i="18" s="1"/>
  <c r="AQ179" i="18"/>
  <c r="AR179" i="18" s="1"/>
  <c r="AO179" i="18"/>
  <c r="AP179" i="18" s="1"/>
  <c r="AG179" i="18"/>
  <c r="Q179" i="18"/>
  <c r="N179" i="18"/>
  <c r="L179" i="18"/>
  <c r="J179" i="18"/>
  <c r="AY179" i="18" s="1"/>
  <c r="AZ179" i="18" s="1"/>
  <c r="H179" i="18"/>
  <c r="AM179" i="18" s="1"/>
  <c r="AN179" i="18" s="1"/>
  <c r="BI178" i="18"/>
  <c r="BJ178" i="18" s="1"/>
  <c r="BG178" i="18"/>
  <c r="BH178" i="18" s="1"/>
  <c r="BE178" i="18"/>
  <c r="BF178" i="18" s="1"/>
  <c r="BC178" i="18"/>
  <c r="BD178" i="18" s="1"/>
  <c r="BA178" i="18"/>
  <c r="BB178" i="18" s="1"/>
  <c r="AW178" i="18"/>
  <c r="AX178" i="18" s="1"/>
  <c r="AU178" i="18"/>
  <c r="AV178" i="18" s="1"/>
  <c r="AS178" i="18"/>
  <c r="AT178" i="18" s="1"/>
  <c r="AQ178" i="18"/>
  <c r="AR178" i="18" s="1"/>
  <c r="AO178" i="18"/>
  <c r="AP178" i="18" s="1"/>
  <c r="AG178" i="18"/>
  <c r="Q178" i="18"/>
  <c r="N178" i="18"/>
  <c r="L178" i="18"/>
  <c r="J178" i="18"/>
  <c r="AY178" i="18" s="1"/>
  <c r="AZ178" i="18" s="1"/>
  <c r="H178" i="18"/>
  <c r="AM178" i="18" s="1"/>
  <c r="AN178" i="18" s="1"/>
  <c r="BI177" i="18"/>
  <c r="BJ177" i="18" s="1"/>
  <c r="BG177" i="18"/>
  <c r="BH177" i="18" s="1"/>
  <c r="BE177" i="18"/>
  <c r="BF177" i="18" s="1"/>
  <c r="BC177" i="18"/>
  <c r="BD177" i="18" s="1"/>
  <c r="BA177" i="18"/>
  <c r="BB177" i="18" s="1"/>
  <c r="AW177" i="18"/>
  <c r="AX177" i="18" s="1"/>
  <c r="AU177" i="18"/>
  <c r="AV177" i="18" s="1"/>
  <c r="AS177" i="18"/>
  <c r="AT177" i="18" s="1"/>
  <c r="AQ177" i="18"/>
  <c r="AR177" i="18" s="1"/>
  <c r="AO177" i="18"/>
  <c r="AP177" i="18" s="1"/>
  <c r="AG177" i="18"/>
  <c r="Q177" i="18"/>
  <c r="N177" i="18"/>
  <c r="L177" i="18"/>
  <c r="J177" i="18"/>
  <c r="AY177" i="18" s="1"/>
  <c r="AZ177" i="18" s="1"/>
  <c r="H177" i="18"/>
  <c r="AM177" i="18" s="1"/>
  <c r="AN177" i="18" s="1"/>
  <c r="BI176" i="18"/>
  <c r="BJ176" i="18" s="1"/>
  <c r="BG176" i="18"/>
  <c r="BH176" i="18" s="1"/>
  <c r="BE176" i="18"/>
  <c r="BF176" i="18" s="1"/>
  <c r="BC176" i="18"/>
  <c r="BD176" i="18" s="1"/>
  <c r="BA176" i="18"/>
  <c r="BB176" i="18" s="1"/>
  <c r="AW176" i="18"/>
  <c r="AX176" i="18" s="1"/>
  <c r="AU176" i="18"/>
  <c r="AV176" i="18" s="1"/>
  <c r="AS176" i="18"/>
  <c r="AT176" i="18" s="1"/>
  <c r="AQ176" i="18"/>
  <c r="AR176" i="18" s="1"/>
  <c r="AO176" i="18"/>
  <c r="AP176" i="18" s="1"/>
  <c r="AG176" i="18"/>
  <c r="Q176" i="18"/>
  <c r="N176" i="18"/>
  <c r="L176" i="18"/>
  <c r="J176" i="18"/>
  <c r="AY176" i="18" s="1"/>
  <c r="AZ176" i="18" s="1"/>
  <c r="H176" i="18"/>
  <c r="AM176" i="18" s="1"/>
  <c r="AN176" i="18" s="1"/>
  <c r="BI175" i="18"/>
  <c r="BJ175" i="18" s="1"/>
  <c r="BG175" i="18"/>
  <c r="BH175" i="18" s="1"/>
  <c r="BE175" i="18"/>
  <c r="BF175" i="18" s="1"/>
  <c r="BC175" i="18"/>
  <c r="BD175" i="18" s="1"/>
  <c r="BA175" i="18"/>
  <c r="BB175" i="18" s="1"/>
  <c r="AW175" i="18"/>
  <c r="AX175" i="18" s="1"/>
  <c r="AU175" i="18"/>
  <c r="AV175" i="18" s="1"/>
  <c r="AS175" i="18"/>
  <c r="AT175" i="18" s="1"/>
  <c r="AQ175" i="18"/>
  <c r="AR175" i="18" s="1"/>
  <c r="AO175" i="18"/>
  <c r="AP175" i="18" s="1"/>
  <c r="AG175" i="18"/>
  <c r="Q175" i="18"/>
  <c r="N175" i="18"/>
  <c r="L175" i="18"/>
  <c r="J175" i="18"/>
  <c r="AY175" i="18" s="1"/>
  <c r="AZ175" i="18" s="1"/>
  <c r="H175" i="18"/>
  <c r="AM175" i="18" s="1"/>
  <c r="AN175" i="18" s="1"/>
  <c r="BI174" i="18"/>
  <c r="BJ174" i="18" s="1"/>
  <c r="BG174" i="18"/>
  <c r="BH174" i="18" s="1"/>
  <c r="BE174" i="18"/>
  <c r="BF174" i="18" s="1"/>
  <c r="BC174" i="18"/>
  <c r="BD174" i="18" s="1"/>
  <c r="BA174" i="18"/>
  <c r="BB174" i="18" s="1"/>
  <c r="AW174" i="18"/>
  <c r="AX174" i="18" s="1"/>
  <c r="AU174" i="18"/>
  <c r="AV174" i="18" s="1"/>
  <c r="AS174" i="18"/>
  <c r="AT174" i="18" s="1"/>
  <c r="AQ174" i="18"/>
  <c r="AR174" i="18" s="1"/>
  <c r="AO174" i="18"/>
  <c r="AP174" i="18" s="1"/>
  <c r="AG174" i="18"/>
  <c r="Q174" i="18"/>
  <c r="N174" i="18"/>
  <c r="L174" i="18"/>
  <c r="J174" i="18"/>
  <c r="AY174" i="18" s="1"/>
  <c r="AZ174" i="18" s="1"/>
  <c r="H174" i="18"/>
  <c r="AM174" i="18" s="1"/>
  <c r="AN174" i="18" s="1"/>
  <c r="BI173" i="18"/>
  <c r="BJ173" i="18" s="1"/>
  <c r="BG173" i="18"/>
  <c r="BH173" i="18" s="1"/>
  <c r="BE173" i="18"/>
  <c r="BF173" i="18" s="1"/>
  <c r="BC173" i="18"/>
  <c r="BD173" i="18" s="1"/>
  <c r="BA173" i="18"/>
  <c r="BB173" i="18" s="1"/>
  <c r="AW173" i="18"/>
  <c r="AX173" i="18" s="1"/>
  <c r="AU173" i="18"/>
  <c r="AV173" i="18" s="1"/>
  <c r="AS173" i="18"/>
  <c r="AT173" i="18" s="1"/>
  <c r="AQ173" i="18"/>
  <c r="AR173" i="18" s="1"/>
  <c r="AO173" i="18"/>
  <c r="AP173" i="18" s="1"/>
  <c r="AG173" i="18"/>
  <c r="Q173" i="18"/>
  <c r="N173" i="18"/>
  <c r="L173" i="18"/>
  <c r="J173" i="18"/>
  <c r="AY173" i="18" s="1"/>
  <c r="AZ173" i="18" s="1"/>
  <c r="H173" i="18"/>
  <c r="AM173" i="18" s="1"/>
  <c r="AN173" i="18" s="1"/>
  <c r="BI172" i="18"/>
  <c r="BJ172" i="18" s="1"/>
  <c r="BG172" i="18"/>
  <c r="BH172" i="18" s="1"/>
  <c r="BE172" i="18"/>
  <c r="BF172" i="18" s="1"/>
  <c r="BC172" i="18"/>
  <c r="BD172" i="18" s="1"/>
  <c r="BA172" i="18"/>
  <c r="BB172" i="18" s="1"/>
  <c r="AW172" i="18"/>
  <c r="AX172" i="18" s="1"/>
  <c r="AU172" i="18"/>
  <c r="AV172" i="18" s="1"/>
  <c r="AS172" i="18"/>
  <c r="AT172" i="18" s="1"/>
  <c r="AQ172" i="18"/>
  <c r="AR172" i="18" s="1"/>
  <c r="AO172" i="18"/>
  <c r="AP172" i="18" s="1"/>
  <c r="AG172" i="18"/>
  <c r="Q172" i="18"/>
  <c r="N172" i="18"/>
  <c r="L172" i="18"/>
  <c r="J172" i="18"/>
  <c r="AY172" i="18" s="1"/>
  <c r="AZ172" i="18" s="1"/>
  <c r="H172" i="18"/>
  <c r="AM172" i="18" s="1"/>
  <c r="AN172" i="18" s="1"/>
  <c r="BI171" i="18"/>
  <c r="BJ171" i="18" s="1"/>
  <c r="BG171" i="18"/>
  <c r="BH171" i="18" s="1"/>
  <c r="BE171" i="18"/>
  <c r="BF171" i="18" s="1"/>
  <c r="BC171" i="18"/>
  <c r="BD171" i="18" s="1"/>
  <c r="BA171" i="18"/>
  <c r="BB171" i="18" s="1"/>
  <c r="AW171" i="18"/>
  <c r="AX171" i="18" s="1"/>
  <c r="AU171" i="18"/>
  <c r="AV171" i="18" s="1"/>
  <c r="AS171" i="18"/>
  <c r="AT171" i="18" s="1"/>
  <c r="AQ171" i="18"/>
  <c r="AR171" i="18" s="1"/>
  <c r="AO171" i="18"/>
  <c r="AP171" i="18" s="1"/>
  <c r="AG171" i="18"/>
  <c r="Q171" i="18"/>
  <c r="N171" i="18"/>
  <c r="L171" i="18"/>
  <c r="J171" i="18"/>
  <c r="AY171" i="18" s="1"/>
  <c r="AZ171" i="18" s="1"/>
  <c r="H171" i="18"/>
  <c r="AM171" i="18" s="1"/>
  <c r="AN171" i="18" s="1"/>
  <c r="BI170" i="18"/>
  <c r="BJ170" i="18" s="1"/>
  <c r="BG170" i="18"/>
  <c r="BH170" i="18" s="1"/>
  <c r="BE170" i="18"/>
  <c r="BF170" i="18" s="1"/>
  <c r="BC170" i="18"/>
  <c r="BD170" i="18" s="1"/>
  <c r="AW170" i="18"/>
  <c r="AX170" i="18" s="1"/>
  <c r="AU170" i="18"/>
  <c r="AV170" i="18" s="1"/>
  <c r="AS170" i="18"/>
  <c r="AT170" i="18" s="1"/>
  <c r="AQ170" i="18"/>
  <c r="AR170" i="18" s="1"/>
  <c r="AG170" i="18"/>
  <c r="Q170" i="18"/>
  <c r="N170" i="18"/>
  <c r="L170" i="18"/>
  <c r="J170" i="18"/>
  <c r="AY170" i="18" s="1"/>
  <c r="AZ170" i="18" s="1"/>
  <c r="H170" i="18"/>
  <c r="AM170" i="18" s="1"/>
  <c r="AN170" i="18" s="1"/>
  <c r="BI169" i="18"/>
  <c r="BJ169" i="18" s="1"/>
  <c r="BG169" i="18"/>
  <c r="BH169" i="18" s="1"/>
  <c r="BE169" i="18"/>
  <c r="BF169" i="18" s="1"/>
  <c r="BC169" i="18"/>
  <c r="BD169" i="18" s="1"/>
  <c r="BB169" i="18"/>
  <c r="BA169" i="18"/>
  <c r="AY169" i="18"/>
  <c r="AZ169" i="18" s="1"/>
  <c r="AW169" i="18"/>
  <c r="AX169" i="18" s="1"/>
  <c r="AU169" i="18"/>
  <c r="AV169" i="18" s="1"/>
  <c r="AS169" i="18"/>
  <c r="AT169" i="18" s="1"/>
  <c r="AQ169" i="18"/>
  <c r="AR169" i="18" s="1"/>
  <c r="AO169" i="18"/>
  <c r="AP169" i="18" s="1"/>
  <c r="AM169" i="18"/>
  <c r="AN169" i="18" s="1"/>
  <c r="BI168" i="18"/>
  <c r="BJ168" i="18" s="1"/>
  <c r="BG168" i="18"/>
  <c r="BH168" i="18" s="1"/>
  <c r="BE168" i="18"/>
  <c r="BF168" i="18" s="1"/>
  <c r="BC168" i="18"/>
  <c r="BD168" i="18" s="1"/>
  <c r="BA168" i="18"/>
  <c r="BB168" i="18" s="1"/>
  <c r="AY168" i="18"/>
  <c r="AZ168" i="18" s="1"/>
  <c r="AW168" i="18"/>
  <c r="AX168" i="18" s="1"/>
  <c r="AU168" i="18"/>
  <c r="AV168" i="18" s="1"/>
  <c r="AS168" i="18"/>
  <c r="AT168" i="18" s="1"/>
  <c r="AQ168" i="18"/>
  <c r="AR168" i="18" s="1"/>
  <c r="AO168" i="18"/>
  <c r="AP168" i="18" s="1"/>
  <c r="AM168" i="18"/>
  <c r="AN168" i="18" s="1"/>
  <c r="AG168" i="18"/>
  <c r="Q168" i="18"/>
  <c r="N168" i="18"/>
  <c r="L168" i="18"/>
  <c r="J168" i="18"/>
  <c r="H168" i="18"/>
  <c r="A168" i="18"/>
  <c r="BI167" i="18"/>
  <c r="BJ167" i="18" s="1"/>
  <c r="BG167" i="18"/>
  <c r="BH167" i="18" s="1"/>
  <c r="BE167" i="18"/>
  <c r="BF167" i="18" s="1"/>
  <c r="BC167" i="18"/>
  <c r="BD167" i="18" s="1"/>
  <c r="BA167" i="18"/>
  <c r="BB167" i="18" s="1"/>
  <c r="AY167" i="18"/>
  <c r="AZ167" i="18" s="1"/>
  <c r="AW167" i="18"/>
  <c r="AX167" i="18" s="1"/>
  <c r="AU167" i="18"/>
  <c r="AV167" i="18" s="1"/>
  <c r="AS167" i="18"/>
  <c r="AT167" i="18" s="1"/>
  <c r="AQ167" i="18"/>
  <c r="AR167" i="18" s="1"/>
  <c r="AO167" i="18"/>
  <c r="AP167" i="18" s="1"/>
  <c r="AM167" i="18"/>
  <c r="AN167" i="18" s="1"/>
  <c r="AG167" i="18"/>
  <c r="Q167" i="18"/>
  <c r="N167" i="18"/>
  <c r="L167" i="18"/>
  <c r="J167" i="18"/>
  <c r="H167" i="18"/>
  <c r="A167" i="18"/>
  <c r="BI166" i="18"/>
  <c r="BJ166" i="18" s="1"/>
  <c r="BG166" i="18"/>
  <c r="BH166" i="18" s="1"/>
  <c r="BE166" i="18"/>
  <c r="BF166" i="18" s="1"/>
  <c r="BC166" i="18"/>
  <c r="BD166" i="18" s="1"/>
  <c r="BA166" i="18"/>
  <c r="BB166" i="18" s="1"/>
  <c r="AY166" i="18"/>
  <c r="AZ166" i="18" s="1"/>
  <c r="AW166" i="18"/>
  <c r="AX166" i="18" s="1"/>
  <c r="AU166" i="18"/>
  <c r="AV166" i="18" s="1"/>
  <c r="AS166" i="18"/>
  <c r="AT166" i="18" s="1"/>
  <c r="AQ166" i="18"/>
  <c r="AR166" i="18" s="1"/>
  <c r="AO166" i="18"/>
  <c r="AP166" i="18" s="1"/>
  <c r="AM166" i="18"/>
  <c r="AN166" i="18" s="1"/>
  <c r="AG166" i="18"/>
  <c r="Q166" i="18"/>
  <c r="N166" i="18"/>
  <c r="L166" i="18"/>
  <c r="J166" i="18"/>
  <c r="H166" i="18"/>
  <c r="A166" i="18"/>
  <c r="BI165" i="18"/>
  <c r="BJ165" i="18" s="1"/>
  <c r="BG165" i="18"/>
  <c r="BH165" i="18" s="1"/>
  <c r="BE165" i="18"/>
  <c r="BF165" i="18" s="1"/>
  <c r="BC165" i="18"/>
  <c r="BD165" i="18" s="1"/>
  <c r="BA165" i="18"/>
  <c r="BB165" i="18" s="1"/>
  <c r="AY165" i="18"/>
  <c r="AZ165" i="18" s="1"/>
  <c r="AW165" i="18"/>
  <c r="AX165" i="18" s="1"/>
  <c r="AU165" i="18"/>
  <c r="AV165" i="18" s="1"/>
  <c r="AS165" i="18"/>
  <c r="AT165" i="18" s="1"/>
  <c r="AQ165" i="18"/>
  <c r="AR165" i="18" s="1"/>
  <c r="AO165" i="18"/>
  <c r="AP165" i="18" s="1"/>
  <c r="AM165" i="18"/>
  <c r="AN165" i="18" s="1"/>
  <c r="AG165" i="18"/>
  <c r="Q165" i="18"/>
  <c r="N165" i="18"/>
  <c r="L165" i="18"/>
  <c r="J165" i="18"/>
  <c r="H165" i="18"/>
  <c r="A165" i="18"/>
  <c r="BI164" i="18"/>
  <c r="BJ164" i="18" s="1"/>
  <c r="BG164" i="18"/>
  <c r="BH164" i="18" s="1"/>
  <c r="BC164" i="18"/>
  <c r="BD164" i="18" s="1"/>
  <c r="BA164" i="18"/>
  <c r="BB164" i="18" s="1"/>
  <c r="AY164" i="18"/>
  <c r="AZ164" i="18" s="1"/>
  <c r="AW164" i="18"/>
  <c r="AX164" i="18" s="1"/>
  <c r="AU164" i="18"/>
  <c r="AV164" i="18" s="1"/>
  <c r="AQ164" i="18"/>
  <c r="AR164" i="18" s="1"/>
  <c r="AO164" i="18"/>
  <c r="AP164" i="18" s="1"/>
  <c r="AM164" i="18"/>
  <c r="AN164" i="18" s="1"/>
  <c r="AG164" i="18"/>
  <c r="Q164" i="18"/>
  <c r="N164" i="18"/>
  <c r="L164" i="18"/>
  <c r="J164" i="18"/>
  <c r="BE164" i="18" s="1"/>
  <c r="BF164" i="18" s="1"/>
  <c r="H164" i="18"/>
  <c r="AS164" i="18" s="1"/>
  <c r="AT164" i="18" s="1"/>
  <c r="BG163" i="18"/>
  <c r="BH163" i="18" s="1"/>
  <c r="BC163" i="18"/>
  <c r="BD163" i="18" s="1"/>
  <c r="BA163" i="18"/>
  <c r="BB163" i="18" s="1"/>
  <c r="AU163" i="18"/>
  <c r="AV163" i="18" s="1"/>
  <c r="AQ163" i="18"/>
  <c r="AR163" i="18" s="1"/>
  <c r="AO163" i="18"/>
  <c r="AP163" i="18" s="1"/>
  <c r="AG163" i="18"/>
  <c r="Q163" i="18"/>
  <c r="N163" i="18"/>
  <c r="L163" i="18"/>
  <c r="J163" i="18"/>
  <c r="AY163" i="18" s="1"/>
  <c r="AZ163" i="18" s="1"/>
  <c r="H163" i="18"/>
  <c r="AM163" i="18" s="1"/>
  <c r="AN163" i="18" s="1"/>
  <c r="BI162" i="18"/>
  <c r="BJ162" i="18" s="1"/>
  <c r="BG162" i="18"/>
  <c r="BH162" i="18" s="1"/>
  <c r="BE162" i="18"/>
  <c r="BF162" i="18" s="1"/>
  <c r="BC162" i="18"/>
  <c r="BD162" i="18" s="1"/>
  <c r="BA162" i="18"/>
  <c r="BB162" i="18" s="1"/>
  <c r="AW162" i="18"/>
  <c r="AX162" i="18" s="1"/>
  <c r="AU162" i="18"/>
  <c r="AV162" i="18" s="1"/>
  <c r="AS162" i="18"/>
  <c r="AT162" i="18" s="1"/>
  <c r="AQ162" i="18"/>
  <c r="AR162" i="18" s="1"/>
  <c r="AO162" i="18"/>
  <c r="AP162" i="18" s="1"/>
  <c r="AG162" i="18"/>
  <c r="Q162" i="18"/>
  <c r="N162" i="18"/>
  <c r="L162" i="18"/>
  <c r="J162" i="18"/>
  <c r="AY162" i="18" s="1"/>
  <c r="AZ162" i="18" s="1"/>
  <c r="H162" i="18"/>
  <c r="AM162" i="18" s="1"/>
  <c r="AN162" i="18" s="1"/>
  <c r="BI161" i="18"/>
  <c r="BJ161" i="18" s="1"/>
  <c r="BG161" i="18"/>
  <c r="BH161" i="18" s="1"/>
  <c r="BE161" i="18"/>
  <c r="BF161" i="18" s="1"/>
  <c r="BC161" i="18"/>
  <c r="BD161" i="18" s="1"/>
  <c r="BA161" i="18"/>
  <c r="BB161" i="18" s="1"/>
  <c r="AW161" i="18"/>
  <c r="AX161" i="18" s="1"/>
  <c r="AU161" i="18"/>
  <c r="AV161" i="18" s="1"/>
  <c r="AS161" i="18"/>
  <c r="AT161" i="18" s="1"/>
  <c r="AQ161" i="18"/>
  <c r="AR161" i="18" s="1"/>
  <c r="AO161" i="18"/>
  <c r="AP161" i="18" s="1"/>
  <c r="AG161" i="18"/>
  <c r="Q161" i="18"/>
  <c r="N161" i="18"/>
  <c r="L161" i="18"/>
  <c r="J161" i="18"/>
  <c r="AY161" i="18" s="1"/>
  <c r="AZ161" i="18" s="1"/>
  <c r="H161" i="18"/>
  <c r="AM161" i="18" s="1"/>
  <c r="AN161" i="18" s="1"/>
  <c r="BI160" i="18"/>
  <c r="BJ160" i="18" s="1"/>
  <c r="BG160" i="18"/>
  <c r="BH160" i="18" s="1"/>
  <c r="BE160" i="18"/>
  <c r="BF160" i="18" s="1"/>
  <c r="BC160" i="18"/>
  <c r="BD160" i="18" s="1"/>
  <c r="AY160" i="18"/>
  <c r="AZ160" i="18" s="1"/>
  <c r="AW160" i="18"/>
  <c r="AX160" i="18" s="1"/>
  <c r="AU160" i="18"/>
  <c r="AV160" i="18" s="1"/>
  <c r="AS160" i="18"/>
  <c r="AT160" i="18" s="1"/>
  <c r="AQ160" i="18"/>
  <c r="AR160" i="18" s="1"/>
  <c r="AM160" i="18"/>
  <c r="AN160" i="18" s="1"/>
  <c r="AG160" i="18"/>
  <c r="Q160" i="18"/>
  <c r="N160" i="18"/>
  <c r="L160" i="18"/>
  <c r="J160" i="18"/>
  <c r="BA160" i="18" s="1"/>
  <c r="BB160" i="18" s="1"/>
  <c r="H160" i="18"/>
  <c r="AO160" i="18" s="1"/>
  <c r="AP160" i="18" s="1"/>
  <c r="BI159" i="18"/>
  <c r="BJ159" i="18" s="1"/>
  <c r="BG159" i="18"/>
  <c r="BH159" i="18" s="1"/>
  <c r="BE159" i="18"/>
  <c r="BF159" i="18" s="1"/>
  <c r="BA159" i="18"/>
  <c r="BB159" i="18" s="1"/>
  <c r="AY159" i="18"/>
  <c r="AZ159" i="18" s="1"/>
  <c r="AW159" i="18"/>
  <c r="AX159" i="18" s="1"/>
  <c r="AU159" i="18"/>
  <c r="AV159" i="18" s="1"/>
  <c r="AS159" i="18"/>
  <c r="AT159" i="18" s="1"/>
  <c r="AO159" i="18"/>
  <c r="AP159" i="18" s="1"/>
  <c r="AM159" i="18"/>
  <c r="AN159" i="18" s="1"/>
  <c r="AG159" i="18"/>
  <c r="Q159" i="18"/>
  <c r="N159" i="18"/>
  <c r="L159" i="18"/>
  <c r="J159" i="18"/>
  <c r="BC159" i="18" s="1"/>
  <c r="BD159" i="18" s="1"/>
  <c r="H159" i="18"/>
  <c r="AQ159" i="18" s="1"/>
  <c r="AR159" i="18" s="1"/>
  <c r="BI158" i="18"/>
  <c r="BJ158" i="18" s="1"/>
  <c r="BG158" i="18"/>
  <c r="BH158" i="18" s="1"/>
  <c r="BC158" i="18"/>
  <c r="BD158" i="18" s="1"/>
  <c r="BA158" i="18"/>
  <c r="BB158" i="18" s="1"/>
  <c r="AW158" i="18"/>
  <c r="AX158" i="18" s="1"/>
  <c r="AU158" i="18"/>
  <c r="AV158" i="18" s="1"/>
  <c r="AQ158" i="18"/>
  <c r="AR158" i="18" s="1"/>
  <c r="AO158" i="18"/>
  <c r="AP158" i="18" s="1"/>
  <c r="AG158" i="18"/>
  <c r="Q158" i="18"/>
  <c r="N158" i="18"/>
  <c r="L158" i="18"/>
  <c r="J158" i="18"/>
  <c r="BE158" i="18" s="1"/>
  <c r="BF158" i="18" s="1"/>
  <c r="H158" i="18"/>
  <c r="AM158" i="18" s="1"/>
  <c r="AN158" i="18" s="1"/>
  <c r="BI157" i="18"/>
  <c r="BJ157" i="18" s="1"/>
  <c r="BE157" i="18"/>
  <c r="BF157" i="18" s="1"/>
  <c r="BC157" i="18"/>
  <c r="BD157" i="18" s="1"/>
  <c r="BA157" i="18"/>
  <c r="BB157" i="18" s="1"/>
  <c r="AW157" i="18"/>
  <c r="AX157" i="18" s="1"/>
  <c r="AS157" i="18"/>
  <c r="AT157" i="18" s="1"/>
  <c r="AQ157" i="18"/>
  <c r="AR157" i="18" s="1"/>
  <c r="AO157" i="18"/>
  <c r="AP157" i="18" s="1"/>
  <c r="AG157" i="18"/>
  <c r="Q157" i="18"/>
  <c r="N157" i="18"/>
  <c r="L157" i="18"/>
  <c r="J157" i="18"/>
  <c r="BG157" i="18" s="1"/>
  <c r="BH157" i="18" s="1"/>
  <c r="H157" i="18"/>
  <c r="BI156" i="18"/>
  <c r="BJ156" i="18" s="1"/>
  <c r="BE156" i="18"/>
  <c r="BF156" i="18" s="1"/>
  <c r="BC156" i="18"/>
  <c r="BD156" i="18" s="1"/>
  <c r="BA156" i="18"/>
  <c r="BB156" i="18" s="1"/>
  <c r="AW156" i="18"/>
  <c r="AX156" i="18" s="1"/>
  <c r="AS156" i="18"/>
  <c r="AT156" i="18" s="1"/>
  <c r="AQ156" i="18"/>
  <c r="AR156" i="18" s="1"/>
  <c r="AO156" i="18"/>
  <c r="AP156" i="18" s="1"/>
  <c r="AG156" i="18"/>
  <c r="Q156" i="18"/>
  <c r="N156" i="18"/>
  <c r="L156" i="18"/>
  <c r="J156" i="18"/>
  <c r="AY156" i="18" s="1"/>
  <c r="AZ156" i="18" s="1"/>
  <c r="H156" i="18"/>
  <c r="BI155" i="18"/>
  <c r="BJ155" i="18" s="1"/>
  <c r="BE155" i="18"/>
  <c r="BF155" i="18" s="1"/>
  <c r="BC155" i="18"/>
  <c r="BD155" i="18" s="1"/>
  <c r="BA155" i="18"/>
  <c r="BB155" i="18" s="1"/>
  <c r="AW155" i="18"/>
  <c r="AX155" i="18" s="1"/>
  <c r="AS155" i="18"/>
  <c r="AT155" i="18" s="1"/>
  <c r="AQ155" i="18"/>
  <c r="AR155" i="18" s="1"/>
  <c r="AO155" i="18"/>
  <c r="AP155" i="18" s="1"/>
  <c r="AG155" i="18"/>
  <c r="Q155" i="18"/>
  <c r="N155" i="18"/>
  <c r="L155" i="18"/>
  <c r="J155" i="18"/>
  <c r="H155" i="18"/>
  <c r="BI154" i="18"/>
  <c r="BJ154" i="18" s="1"/>
  <c r="BG154" i="18"/>
  <c r="BH154" i="18" s="1"/>
  <c r="BE154" i="18"/>
  <c r="BF154" i="18" s="1"/>
  <c r="BC154" i="18"/>
  <c r="BD154" i="18" s="1"/>
  <c r="BA154" i="18"/>
  <c r="BB154" i="18" s="1"/>
  <c r="AY154" i="18"/>
  <c r="AZ154" i="18" s="1"/>
  <c r="AW154" i="18"/>
  <c r="AX154" i="18" s="1"/>
  <c r="AU154" i="18"/>
  <c r="AV154" i="18" s="1"/>
  <c r="AS154" i="18"/>
  <c r="AT154" i="18" s="1"/>
  <c r="AQ154" i="18"/>
  <c r="AR154" i="18" s="1"/>
  <c r="AO154" i="18"/>
  <c r="AP154" i="18" s="1"/>
  <c r="AM154" i="18"/>
  <c r="AN154" i="18" s="1"/>
  <c r="BI153" i="18"/>
  <c r="BJ153" i="18" s="1"/>
  <c r="BG153" i="18"/>
  <c r="BH153" i="18" s="1"/>
  <c r="BE153" i="18"/>
  <c r="BF153" i="18" s="1"/>
  <c r="BC153" i="18"/>
  <c r="BD153" i="18" s="1"/>
  <c r="BA153" i="18"/>
  <c r="BB153" i="18" s="1"/>
  <c r="AY153" i="18"/>
  <c r="AZ153" i="18" s="1"/>
  <c r="AW153" i="18"/>
  <c r="AX153" i="18" s="1"/>
  <c r="AU153" i="18"/>
  <c r="AV153" i="18" s="1"/>
  <c r="AS153" i="18"/>
  <c r="AT153" i="18" s="1"/>
  <c r="AQ153" i="18"/>
  <c r="AR153" i="18" s="1"/>
  <c r="AO153" i="18"/>
  <c r="AP153" i="18" s="1"/>
  <c r="AM153" i="18"/>
  <c r="AN153" i="18" s="1"/>
  <c r="AG153" i="18"/>
  <c r="Q153" i="18"/>
  <c r="N153" i="18"/>
  <c r="L153" i="18"/>
  <c r="J153" i="18"/>
  <c r="H153" i="18"/>
  <c r="A153" i="18"/>
  <c r="BI152" i="18"/>
  <c r="BJ152" i="18" s="1"/>
  <c r="BG152" i="18"/>
  <c r="BH152" i="18" s="1"/>
  <c r="BE152" i="18"/>
  <c r="BF152" i="18" s="1"/>
  <c r="BC152" i="18"/>
  <c r="BD152" i="18" s="1"/>
  <c r="BA152" i="18"/>
  <c r="BB152" i="18" s="1"/>
  <c r="AY152" i="18"/>
  <c r="AZ152" i="18" s="1"/>
  <c r="AW152" i="18"/>
  <c r="AX152" i="18" s="1"/>
  <c r="AU152" i="18"/>
  <c r="AV152" i="18" s="1"/>
  <c r="AS152" i="18"/>
  <c r="AT152" i="18" s="1"/>
  <c r="AQ152" i="18"/>
  <c r="AR152" i="18" s="1"/>
  <c r="AO152" i="18"/>
  <c r="AP152" i="18" s="1"/>
  <c r="AM152" i="18"/>
  <c r="AN152" i="18" s="1"/>
  <c r="AG152" i="18"/>
  <c r="Q152" i="18"/>
  <c r="N152" i="18"/>
  <c r="L152" i="18"/>
  <c r="J152" i="18"/>
  <c r="H152" i="18"/>
  <c r="A152" i="18"/>
  <c r="BI151" i="18"/>
  <c r="BJ151" i="18" s="1"/>
  <c r="BG151" i="18"/>
  <c r="BH151" i="18" s="1"/>
  <c r="BE151" i="18"/>
  <c r="BF151" i="18" s="1"/>
  <c r="BC151" i="18"/>
  <c r="BD151" i="18" s="1"/>
  <c r="BA151" i="18"/>
  <c r="BB151" i="18" s="1"/>
  <c r="AY151" i="18"/>
  <c r="AZ151" i="18" s="1"/>
  <c r="AW151" i="18"/>
  <c r="AX151" i="18" s="1"/>
  <c r="AU151" i="18"/>
  <c r="AV151" i="18" s="1"/>
  <c r="AS151" i="18"/>
  <c r="AT151" i="18" s="1"/>
  <c r="AQ151" i="18"/>
  <c r="AR151" i="18" s="1"/>
  <c r="AO151" i="18"/>
  <c r="AP151" i="18" s="1"/>
  <c r="AM151" i="18"/>
  <c r="AN151" i="18" s="1"/>
  <c r="AG151" i="18"/>
  <c r="Q151" i="18"/>
  <c r="N151" i="18"/>
  <c r="L151" i="18"/>
  <c r="J151" i="18"/>
  <c r="H151" i="18"/>
  <c r="A151" i="18"/>
  <c r="BI150" i="18"/>
  <c r="BJ150" i="18" s="1"/>
  <c r="BG150" i="18"/>
  <c r="BH150" i="18" s="1"/>
  <c r="BE150" i="18"/>
  <c r="BF150" i="18" s="1"/>
  <c r="BC150" i="18"/>
  <c r="BD150" i="18" s="1"/>
  <c r="BA150" i="18"/>
  <c r="BB150" i="18" s="1"/>
  <c r="AY150" i="18"/>
  <c r="AZ150" i="18" s="1"/>
  <c r="AW150" i="18"/>
  <c r="AX150" i="18" s="1"/>
  <c r="AU150" i="18"/>
  <c r="AV150" i="18" s="1"/>
  <c r="AS150" i="18"/>
  <c r="AT150" i="18" s="1"/>
  <c r="AQ150" i="18"/>
  <c r="AR150" i="18" s="1"/>
  <c r="AO150" i="18"/>
  <c r="AP150" i="18" s="1"/>
  <c r="AM150" i="18"/>
  <c r="AN150" i="18" s="1"/>
  <c r="AG150" i="18"/>
  <c r="Q150" i="18"/>
  <c r="N150" i="18"/>
  <c r="L150" i="18"/>
  <c r="J150" i="18"/>
  <c r="H150" i="18"/>
  <c r="A150" i="18"/>
  <c r="BG149" i="18"/>
  <c r="BH149" i="18" s="1"/>
  <c r="BE149" i="18"/>
  <c r="BF149" i="18" s="1"/>
  <c r="BC149" i="18"/>
  <c r="BD149" i="18" s="1"/>
  <c r="BA149" i="18"/>
  <c r="BB149" i="18" s="1"/>
  <c r="AY149" i="18"/>
  <c r="AZ149" i="18" s="1"/>
  <c r="AU149" i="18"/>
  <c r="AV149" i="18" s="1"/>
  <c r="AS149" i="18"/>
  <c r="AT149" i="18" s="1"/>
  <c r="AQ149" i="18"/>
  <c r="AR149" i="18" s="1"/>
  <c r="AO149" i="18"/>
  <c r="AP149" i="18" s="1"/>
  <c r="AM149" i="18"/>
  <c r="AN149" i="18" s="1"/>
  <c r="AG149" i="18"/>
  <c r="Q149" i="18"/>
  <c r="N149" i="18"/>
  <c r="L149" i="18"/>
  <c r="J149" i="18"/>
  <c r="BI149" i="18" s="1"/>
  <c r="BJ149" i="18" s="1"/>
  <c r="H149" i="18"/>
  <c r="AW149" i="18" s="1"/>
  <c r="AX149" i="18" s="1"/>
  <c r="BI148" i="18"/>
  <c r="BJ148" i="18" s="1"/>
  <c r="BG148" i="18"/>
  <c r="BH148" i="18" s="1"/>
  <c r="BC148" i="18"/>
  <c r="BD148" i="18" s="1"/>
  <c r="BA148" i="18"/>
  <c r="BB148" i="18" s="1"/>
  <c r="AY148" i="18"/>
  <c r="AZ148" i="18" s="1"/>
  <c r="AW148" i="18"/>
  <c r="AX148" i="18" s="1"/>
  <c r="AU148" i="18"/>
  <c r="AV148" i="18" s="1"/>
  <c r="AQ148" i="18"/>
  <c r="AR148" i="18" s="1"/>
  <c r="AO148" i="18"/>
  <c r="AP148" i="18" s="1"/>
  <c r="AM148" i="18"/>
  <c r="AN148" i="18" s="1"/>
  <c r="AG148" i="18"/>
  <c r="Q148" i="18"/>
  <c r="N148" i="18"/>
  <c r="L148" i="18"/>
  <c r="J148" i="18"/>
  <c r="BE148" i="18" s="1"/>
  <c r="BF148" i="18" s="1"/>
  <c r="H148" i="18"/>
  <c r="AS148" i="18" s="1"/>
  <c r="AT148" i="18" s="1"/>
  <c r="BI147" i="18"/>
  <c r="BJ147" i="18" s="1"/>
  <c r="BG147" i="18"/>
  <c r="BH147" i="18" s="1"/>
  <c r="BE147" i="18"/>
  <c r="BF147" i="18" s="1"/>
  <c r="BC147" i="18"/>
  <c r="BD147" i="18" s="1"/>
  <c r="AY147" i="18"/>
  <c r="AZ147" i="18" s="1"/>
  <c r="AW147" i="18"/>
  <c r="AX147" i="18" s="1"/>
  <c r="AU147" i="18"/>
  <c r="AV147" i="18" s="1"/>
  <c r="AS147" i="18"/>
  <c r="AT147" i="18" s="1"/>
  <c r="AQ147" i="18"/>
  <c r="AR147" i="18" s="1"/>
  <c r="AM147" i="18"/>
  <c r="AN147" i="18" s="1"/>
  <c r="AG147" i="18"/>
  <c r="Q147" i="18"/>
  <c r="N147" i="18"/>
  <c r="L147" i="18"/>
  <c r="J147" i="18"/>
  <c r="BA147" i="18" s="1"/>
  <c r="BB147" i="18" s="1"/>
  <c r="H147" i="18"/>
  <c r="AO147" i="18" s="1"/>
  <c r="AP147" i="18" s="1"/>
  <c r="BI146" i="18"/>
  <c r="BJ146" i="18" s="1"/>
  <c r="BG146" i="18"/>
  <c r="BH146" i="18" s="1"/>
  <c r="BE146" i="18"/>
  <c r="BF146" i="18" s="1"/>
  <c r="BC146" i="18"/>
  <c r="BD146" i="18" s="1"/>
  <c r="AY146" i="18"/>
  <c r="AZ146" i="18" s="1"/>
  <c r="AW146" i="18"/>
  <c r="AX146" i="18" s="1"/>
  <c r="AU146" i="18"/>
  <c r="AV146" i="18" s="1"/>
  <c r="AS146" i="18"/>
  <c r="AT146" i="18" s="1"/>
  <c r="AQ146" i="18"/>
  <c r="AR146" i="18" s="1"/>
  <c r="AM146" i="18"/>
  <c r="AN146" i="18" s="1"/>
  <c r="AG146" i="18"/>
  <c r="Q146" i="18"/>
  <c r="N146" i="18"/>
  <c r="L146" i="18"/>
  <c r="J146" i="18"/>
  <c r="BA146" i="18" s="1"/>
  <c r="BB146" i="18" s="1"/>
  <c r="H146" i="18"/>
  <c r="AO146" i="18" s="1"/>
  <c r="AP146" i="18" s="1"/>
  <c r="BI145" i="18"/>
  <c r="BJ145" i="18" s="1"/>
  <c r="BG145" i="18"/>
  <c r="BH145" i="18" s="1"/>
  <c r="BE145" i="18"/>
  <c r="BF145" i="18" s="1"/>
  <c r="BC145" i="18"/>
  <c r="BD145" i="18" s="1"/>
  <c r="BA145" i="18"/>
  <c r="BB145" i="18" s="1"/>
  <c r="AW145" i="18"/>
  <c r="AX145" i="18" s="1"/>
  <c r="AU145" i="18"/>
  <c r="AV145" i="18" s="1"/>
  <c r="AS145" i="18"/>
  <c r="AT145" i="18" s="1"/>
  <c r="AQ145" i="18"/>
  <c r="AR145" i="18" s="1"/>
  <c r="AO145" i="18"/>
  <c r="AP145" i="18" s="1"/>
  <c r="AG145" i="18"/>
  <c r="Q145" i="18"/>
  <c r="N145" i="18"/>
  <c r="L145" i="18"/>
  <c r="J145" i="18"/>
  <c r="AY145" i="18" s="1"/>
  <c r="AZ145" i="18" s="1"/>
  <c r="H145" i="18"/>
  <c r="AM145" i="18" s="1"/>
  <c r="AN145" i="18" s="1"/>
  <c r="BI144" i="18"/>
  <c r="BJ144" i="18" s="1"/>
  <c r="BG144" i="18"/>
  <c r="BH144" i="18" s="1"/>
  <c r="BE144" i="18"/>
  <c r="BF144" i="18" s="1"/>
  <c r="BC144" i="18"/>
  <c r="BD144" i="18" s="1"/>
  <c r="BA144" i="18"/>
  <c r="BB144" i="18" s="1"/>
  <c r="AW144" i="18"/>
  <c r="AX144" i="18" s="1"/>
  <c r="AU144" i="18"/>
  <c r="AV144" i="18" s="1"/>
  <c r="AS144" i="18"/>
  <c r="AT144" i="18" s="1"/>
  <c r="AQ144" i="18"/>
  <c r="AR144" i="18" s="1"/>
  <c r="AO144" i="18"/>
  <c r="AP144" i="18" s="1"/>
  <c r="AG144" i="18"/>
  <c r="Q144" i="18"/>
  <c r="N144" i="18"/>
  <c r="L144" i="18"/>
  <c r="J144" i="18"/>
  <c r="AY144" i="18" s="1"/>
  <c r="AZ144" i="18" s="1"/>
  <c r="H144" i="18"/>
  <c r="AM144" i="18" s="1"/>
  <c r="AN144" i="18" s="1"/>
  <c r="BI143" i="18"/>
  <c r="BJ143" i="18" s="1"/>
  <c r="BG143" i="18"/>
  <c r="BH143" i="18" s="1"/>
  <c r="BE143" i="18"/>
  <c r="BF143" i="18" s="1"/>
  <c r="BA143" i="18"/>
  <c r="BB143" i="18" s="1"/>
  <c r="AY143" i="18"/>
  <c r="AZ143" i="18" s="1"/>
  <c r="AW143" i="18"/>
  <c r="AX143" i="18" s="1"/>
  <c r="AU143" i="18"/>
  <c r="AV143" i="18" s="1"/>
  <c r="AS143" i="18"/>
  <c r="AT143" i="18" s="1"/>
  <c r="AO143" i="18"/>
  <c r="AP143" i="18" s="1"/>
  <c r="AM143" i="18"/>
  <c r="AN143" i="18" s="1"/>
  <c r="AG143" i="18"/>
  <c r="Q143" i="18"/>
  <c r="N143" i="18"/>
  <c r="L143" i="18"/>
  <c r="J143" i="18"/>
  <c r="BC143" i="18" s="1"/>
  <c r="BD143" i="18" s="1"/>
  <c r="H143" i="18"/>
  <c r="AQ143" i="18" s="1"/>
  <c r="AR143" i="18" s="1"/>
  <c r="BI142" i="18"/>
  <c r="BJ142" i="18" s="1"/>
  <c r="BG142" i="18"/>
  <c r="BH142" i="18" s="1"/>
  <c r="BE142" i="18"/>
  <c r="BF142" i="18" s="1"/>
  <c r="BC142" i="18"/>
  <c r="BD142" i="18" s="1"/>
  <c r="BA142" i="18"/>
  <c r="BB142" i="18" s="1"/>
  <c r="AY142" i="18"/>
  <c r="AZ142" i="18" s="1"/>
  <c r="AW142" i="18"/>
  <c r="AX142" i="18" s="1"/>
  <c r="AV142" i="18"/>
  <c r="AU142" i="18"/>
  <c r="AS142" i="18"/>
  <c r="AT142" i="18" s="1"/>
  <c r="AQ142" i="18"/>
  <c r="AR142" i="18" s="1"/>
  <c r="AO142" i="18"/>
  <c r="AP142" i="18" s="1"/>
  <c r="AM142" i="18"/>
  <c r="AN142" i="18" s="1"/>
  <c r="BI141" i="18"/>
  <c r="BJ141" i="18" s="1"/>
  <c r="BG141" i="18"/>
  <c r="BH141" i="18" s="1"/>
  <c r="BE141" i="18"/>
  <c r="BF141" i="18" s="1"/>
  <c r="BC141" i="18"/>
  <c r="BD141" i="18" s="1"/>
  <c r="BA141" i="18"/>
  <c r="BB141" i="18" s="1"/>
  <c r="AY141" i="18"/>
  <c r="AZ141" i="18" s="1"/>
  <c r="AW141" i="18"/>
  <c r="AX141" i="18" s="1"/>
  <c r="AU141" i="18"/>
  <c r="AV141" i="18" s="1"/>
  <c r="AS141" i="18"/>
  <c r="AT141" i="18" s="1"/>
  <c r="AQ141" i="18"/>
  <c r="AR141" i="18" s="1"/>
  <c r="AO141" i="18"/>
  <c r="AP141" i="18" s="1"/>
  <c r="AM141" i="18"/>
  <c r="AN141" i="18" s="1"/>
  <c r="AG141" i="18"/>
  <c r="Q141" i="18"/>
  <c r="N141" i="18"/>
  <c r="L141" i="18"/>
  <c r="J141" i="18"/>
  <c r="H141" i="18"/>
  <c r="A141" i="18"/>
  <c r="BI140" i="18"/>
  <c r="BJ140" i="18" s="1"/>
  <c r="BG140" i="18"/>
  <c r="BH140" i="18" s="1"/>
  <c r="BE140" i="18"/>
  <c r="BF140" i="18" s="1"/>
  <c r="BC140" i="18"/>
  <c r="BD140" i="18" s="1"/>
  <c r="BA140" i="18"/>
  <c r="BB140" i="18" s="1"/>
  <c r="AY140" i="18"/>
  <c r="AZ140" i="18" s="1"/>
  <c r="AW140" i="18"/>
  <c r="AX140" i="18" s="1"/>
  <c r="AU140" i="18"/>
  <c r="AV140" i="18" s="1"/>
  <c r="AS140" i="18"/>
  <c r="AT140" i="18" s="1"/>
  <c r="AQ140" i="18"/>
  <c r="AR140" i="18" s="1"/>
  <c r="AO140" i="18"/>
  <c r="AP140" i="18" s="1"/>
  <c r="AM140" i="18"/>
  <c r="AN140" i="18" s="1"/>
  <c r="AG140" i="18"/>
  <c r="Q140" i="18"/>
  <c r="N140" i="18"/>
  <c r="L140" i="18"/>
  <c r="J140" i="18"/>
  <c r="H140" i="18"/>
  <c r="A140" i="18"/>
  <c r="BI139" i="18"/>
  <c r="BJ139" i="18" s="1"/>
  <c r="BG139" i="18"/>
  <c r="BH139" i="18" s="1"/>
  <c r="BE139" i="18"/>
  <c r="BF139" i="18" s="1"/>
  <c r="BC139" i="18"/>
  <c r="BD139" i="18" s="1"/>
  <c r="BA139" i="18"/>
  <c r="BB139" i="18" s="1"/>
  <c r="AY139" i="18"/>
  <c r="AZ139" i="18" s="1"/>
  <c r="AW139" i="18"/>
  <c r="AX139" i="18" s="1"/>
  <c r="AU139" i="18"/>
  <c r="AV139" i="18" s="1"/>
  <c r="AS139" i="18"/>
  <c r="AT139" i="18" s="1"/>
  <c r="AQ139" i="18"/>
  <c r="AR139" i="18" s="1"/>
  <c r="AO139" i="18"/>
  <c r="AP139" i="18" s="1"/>
  <c r="AM139" i="18"/>
  <c r="AN139" i="18" s="1"/>
  <c r="AG139" i="18"/>
  <c r="Q139" i="18"/>
  <c r="N139" i="18"/>
  <c r="L139" i="18"/>
  <c r="J139" i="18"/>
  <c r="H139" i="18"/>
  <c r="A139" i="18"/>
  <c r="BI138" i="18"/>
  <c r="BJ138" i="18" s="1"/>
  <c r="BG138" i="18"/>
  <c r="BH138" i="18" s="1"/>
  <c r="BE138" i="18"/>
  <c r="BF138" i="18" s="1"/>
  <c r="BC138" i="18"/>
  <c r="BD138" i="18" s="1"/>
  <c r="BA138" i="18"/>
  <c r="BB138" i="18" s="1"/>
  <c r="AY138" i="18"/>
  <c r="AZ138" i="18" s="1"/>
  <c r="AW138" i="18"/>
  <c r="AX138" i="18" s="1"/>
  <c r="AU138" i="18"/>
  <c r="AV138" i="18" s="1"/>
  <c r="AS138" i="18"/>
  <c r="AT138" i="18" s="1"/>
  <c r="AQ138" i="18"/>
  <c r="AR138" i="18" s="1"/>
  <c r="AO138" i="18"/>
  <c r="AP138" i="18" s="1"/>
  <c r="AM138" i="18"/>
  <c r="AN138" i="18" s="1"/>
  <c r="AG138" i="18"/>
  <c r="Q138" i="18"/>
  <c r="N138" i="18"/>
  <c r="L138" i="18"/>
  <c r="J138" i="18"/>
  <c r="H138" i="18"/>
  <c r="A138" i="18"/>
  <c r="BI137" i="18"/>
  <c r="BJ137" i="18" s="1"/>
  <c r="BE137" i="18"/>
  <c r="BF137" i="18" s="1"/>
  <c r="BC137" i="18"/>
  <c r="BD137" i="18" s="1"/>
  <c r="BA137" i="18"/>
  <c r="BB137" i="18" s="1"/>
  <c r="AY137" i="18"/>
  <c r="AZ137" i="18" s="1"/>
  <c r="AW137" i="18"/>
  <c r="AX137" i="18" s="1"/>
  <c r="AS137" i="18"/>
  <c r="AT137" i="18" s="1"/>
  <c r="AQ137" i="18"/>
  <c r="AR137" i="18" s="1"/>
  <c r="AO137" i="18"/>
  <c r="AP137" i="18" s="1"/>
  <c r="AM137" i="18"/>
  <c r="AN137" i="18" s="1"/>
  <c r="AG137" i="18"/>
  <c r="Q137" i="18"/>
  <c r="N137" i="18"/>
  <c r="L137" i="18"/>
  <c r="J137" i="18"/>
  <c r="BG137" i="18" s="1"/>
  <c r="BH137" i="18" s="1"/>
  <c r="H137" i="18"/>
  <c r="AU137" i="18" s="1"/>
  <c r="AV137" i="18" s="1"/>
  <c r="BI136" i="18"/>
  <c r="BJ136" i="18" s="1"/>
  <c r="BE136" i="18"/>
  <c r="BF136" i="18" s="1"/>
  <c r="BC136" i="18"/>
  <c r="BD136" i="18" s="1"/>
  <c r="BA136" i="18"/>
  <c r="BB136" i="18" s="1"/>
  <c r="AY136" i="18"/>
  <c r="AZ136" i="18" s="1"/>
  <c r="AW136" i="18"/>
  <c r="AX136" i="18" s="1"/>
  <c r="AS136" i="18"/>
  <c r="AT136" i="18" s="1"/>
  <c r="AQ136" i="18"/>
  <c r="AR136" i="18" s="1"/>
  <c r="AO136" i="18"/>
  <c r="AP136" i="18" s="1"/>
  <c r="AM136" i="18"/>
  <c r="AN136" i="18" s="1"/>
  <c r="AG136" i="18"/>
  <c r="Q136" i="18"/>
  <c r="N136" i="18"/>
  <c r="L136" i="18"/>
  <c r="J136" i="18"/>
  <c r="BG136" i="18" s="1"/>
  <c r="BH136" i="18" s="1"/>
  <c r="H136" i="18"/>
  <c r="AU136" i="18" s="1"/>
  <c r="AV136" i="18" s="1"/>
  <c r="BE135" i="18"/>
  <c r="BF135" i="18" s="1"/>
  <c r="BC135" i="18"/>
  <c r="BD135" i="18" s="1"/>
  <c r="BA135" i="18"/>
  <c r="BB135" i="18" s="1"/>
  <c r="AY135" i="18"/>
  <c r="AZ135" i="18" s="1"/>
  <c r="AS135" i="18"/>
  <c r="AT135" i="18" s="1"/>
  <c r="AQ135" i="18"/>
  <c r="AR135" i="18" s="1"/>
  <c r="AO135" i="18"/>
  <c r="AP135" i="18" s="1"/>
  <c r="AM135" i="18"/>
  <c r="AN135" i="18" s="1"/>
  <c r="AG135" i="18"/>
  <c r="Q135" i="18"/>
  <c r="N135" i="18"/>
  <c r="L135" i="18"/>
  <c r="J135" i="18"/>
  <c r="BG135" i="18" s="1"/>
  <c r="BH135" i="18" s="1"/>
  <c r="H135" i="18"/>
  <c r="AU135" i="18" s="1"/>
  <c r="AV135" i="18" s="1"/>
  <c r="BC134" i="18"/>
  <c r="BD134" i="18" s="1"/>
  <c r="BA134" i="18"/>
  <c r="BB134" i="18" s="1"/>
  <c r="AY134" i="18"/>
  <c r="AZ134" i="18" s="1"/>
  <c r="AQ134" i="18"/>
  <c r="AR134" i="18" s="1"/>
  <c r="AO134" i="18"/>
  <c r="AP134" i="18" s="1"/>
  <c r="AM134" i="18"/>
  <c r="AN134" i="18" s="1"/>
  <c r="AG134" i="18"/>
  <c r="Q134" i="18"/>
  <c r="N134" i="18"/>
  <c r="L134" i="18"/>
  <c r="J134" i="18"/>
  <c r="BG134" i="18" s="1"/>
  <c r="BH134" i="18" s="1"/>
  <c r="H134" i="18"/>
  <c r="AU134" i="18" s="1"/>
  <c r="AV134" i="18" s="1"/>
  <c r="BE133" i="18"/>
  <c r="BF133" i="18" s="1"/>
  <c r="BC133" i="18"/>
  <c r="BD133" i="18" s="1"/>
  <c r="BA133" i="18"/>
  <c r="BB133" i="18" s="1"/>
  <c r="AY133" i="18"/>
  <c r="AZ133" i="18" s="1"/>
  <c r="AS133" i="18"/>
  <c r="AT133" i="18" s="1"/>
  <c r="AQ133" i="18"/>
  <c r="AR133" i="18" s="1"/>
  <c r="AO133" i="18"/>
  <c r="AP133" i="18" s="1"/>
  <c r="AM133" i="18"/>
  <c r="AN133" i="18" s="1"/>
  <c r="AG133" i="18"/>
  <c r="Q133" i="18"/>
  <c r="N133" i="18"/>
  <c r="L133" i="18"/>
  <c r="J133" i="18"/>
  <c r="BI133" i="18" s="1"/>
  <c r="BJ133" i="18" s="1"/>
  <c r="H133" i="18"/>
  <c r="AU133" i="18" s="1"/>
  <c r="AV133" i="18" s="1"/>
  <c r="BI132" i="18"/>
  <c r="BJ132" i="18" s="1"/>
  <c r="BE132" i="18"/>
  <c r="BF132" i="18" s="1"/>
  <c r="BC132" i="18"/>
  <c r="BD132" i="18" s="1"/>
  <c r="BA132" i="18"/>
  <c r="BB132" i="18" s="1"/>
  <c r="AY132" i="18"/>
  <c r="AZ132" i="18" s="1"/>
  <c r="AW132" i="18"/>
  <c r="AX132" i="18" s="1"/>
  <c r="AS132" i="18"/>
  <c r="AT132" i="18" s="1"/>
  <c r="AQ132" i="18"/>
  <c r="AR132" i="18" s="1"/>
  <c r="AO132" i="18"/>
  <c r="AP132" i="18" s="1"/>
  <c r="AM132" i="18"/>
  <c r="AN132" i="18" s="1"/>
  <c r="AG132" i="18"/>
  <c r="Q132" i="18"/>
  <c r="N132" i="18"/>
  <c r="L132" i="18"/>
  <c r="J132" i="18"/>
  <c r="BG132" i="18" s="1"/>
  <c r="BH132" i="18" s="1"/>
  <c r="H132" i="18"/>
  <c r="AU132" i="18" s="1"/>
  <c r="AV132" i="18" s="1"/>
  <c r="BI131" i="18"/>
  <c r="BJ131" i="18" s="1"/>
  <c r="BG131" i="18"/>
  <c r="BH131" i="18" s="1"/>
  <c r="BC131" i="18"/>
  <c r="BD131" i="18" s="1"/>
  <c r="BA131" i="18"/>
  <c r="BB131" i="18" s="1"/>
  <c r="AY131" i="18"/>
  <c r="AZ131" i="18" s="1"/>
  <c r="AW131" i="18"/>
  <c r="AX131" i="18" s="1"/>
  <c r="AU131" i="18"/>
  <c r="AV131" i="18" s="1"/>
  <c r="AQ131" i="18"/>
  <c r="AR131" i="18" s="1"/>
  <c r="AO131" i="18"/>
  <c r="AP131" i="18" s="1"/>
  <c r="AM131" i="18"/>
  <c r="AN131" i="18" s="1"/>
  <c r="AG131" i="18"/>
  <c r="Q131" i="18"/>
  <c r="N131" i="18"/>
  <c r="L131" i="18"/>
  <c r="J131" i="18"/>
  <c r="BE131" i="18" s="1"/>
  <c r="BF131" i="18" s="1"/>
  <c r="H131" i="18"/>
  <c r="AS131" i="18" s="1"/>
  <c r="AT131" i="18" s="1"/>
  <c r="BI130" i="18"/>
  <c r="BJ130" i="18" s="1"/>
  <c r="BG130" i="18"/>
  <c r="BH130" i="18" s="1"/>
  <c r="BC130" i="18"/>
  <c r="BD130" i="18" s="1"/>
  <c r="BA130" i="18"/>
  <c r="BB130" i="18" s="1"/>
  <c r="AW130" i="18"/>
  <c r="AX130" i="18" s="1"/>
  <c r="AU130" i="18"/>
  <c r="AV130" i="18" s="1"/>
  <c r="AQ130" i="18"/>
  <c r="AR130" i="18" s="1"/>
  <c r="AO130" i="18"/>
  <c r="AP130" i="18" s="1"/>
  <c r="AG130" i="18"/>
  <c r="Q130" i="18"/>
  <c r="N130" i="18"/>
  <c r="L130" i="18"/>
  <c r="J130" i="18"/>
  <c r="AY130" i="18" s="1"/>
  <c r="AZ130" i="18" s="1"/>
  <c r="H130" i="18"/>
  <c r="AM130" i="18" s="1"/>
  <c r="AN130" i="18" s="1"/>
  <c r="BI129" i="18"/>
  <c r="BJ129" i="18" s="1"/>
  <c r="BG129" i="18"/>
  <c r="BH129" i="18" s="1"/>
  <c r="BE129" i="18"/>
  <c r="BF129" i="18" s="1"/>
  <c r="AY129" i="18"/>
  <c r="AZ129" i="18" s="1"/>
  <c r="AW129" i="18"/>
  <c r="AX129" i="18" s="1"/>
  <c r="AU129" i="18"/>
  <c r="AV129" i="18" s="1"/>
  <c r="AS129" i="18"/>
  <c r="AT129" i="18" s="1"/>
  <c r="AM129" i="18"/>
  <c r="AN129" i="18" s="1"/>
  <c r="AG129" i="18"/>
  <c r="Q129" i="18"/>
  <c r="N129" i="18"/>
  <c r="L129" i="18"/>
  <c r="J129" i="18"/>
  <c r="BC129" i="18" s="1"/>
  <c r="BD129" i="18" s="1"/>
  <c r="H129" i="18"/>
  <c r="AQ129" i="18" s="1"/>
  <c r="AR129" i="18" s="1"/>
  <c r="BI128" i="18"/>
  <c r="BJ128" i="18" s="1"/>
  <c r="BG128" i="18"/>
  <c r="BH128" i="18" s="1"/>
  <c r="BE128" i="18"/>
  <c r="BF128" i="18" s="1"/>
  <c r="BC128" i="18"/>
  <c r="BD128" i="18" s="1"/>
  <c r="BA128" i="18"/>
  <c r="BB128" i="18" s="1"/>
  <c r="AW128" i="18"/>
  <c r="AX128" i="18" s="1"/>
  <c r="AU128" i="18"/>
  <c r="AV128" i="18" s="1"/>
  <c r="AS128" i="18"/>
  <c r="AT128" i="18" s="1"/>
  <c r="AQ128" i="18"/>
  <c r="AR128" i="18" s="1"/>
  <c r="AO128" i="18"/>
  <c r="AP128" i="18" s="1"/>
  <c r="AG128" i="18"/>
  <c r="Q128" i="18"/>
  <c r="N128" i="18"/>
  <c r="L128" i="18"/>
  <c r="J128" i="18"/>
  <c r="AY128" i="18" s="1"/>
  <c r="AZ128" i="18" s="1"/>
  <c r="H128" i="18"/>
  <c r="AM128" i="18" s="1"/>
  <c r="AN128" i="18" s="1"/>
  <c r="BI127" i="18"/>
  <c r="BJ127" i="18" s="1"/>
  <c r="BG127" i="18"/>
  <c r="BH127" i="18" s="1"/>
  <c r="BE127" i="18"/>
  <c r="BF127" i="18" s="1"/>
  <c r="BC127" i="18"/>
  <c r="BD127" i="18" s="1"/>
  <c r="BA127" i="18"/>
  <c r="BB127" i="18" s="1"/>
  <c r="AW127" i="18"/>
  <c r="AX127" i="18" s="1"/>
  <c r="AU127" i="18"/>
  <c r="AV127" i="18" s="1"/>
  <c r="AS127" i="18"/>
  <c r="AT127" i="18" s="1"/>
  <c r="AQ127" i="18"/>
  <c r="AR127" i="18" s="1"/>
  <c r="AO127" i="18"/>
  <c r="AP127" i="18" s="1"/>
  <c r="AG127" i="18"/>
  <c r="Q127" i="18"/>
  <c r="N127" i="18"/>
  <c r="L127" i="18"/>
  <c r="J127" i="18"/>
  <c r="AY127" i="18" s="1"/>
  <c r="AZ127" i="18" s="1"/>
  <c r="H127" i="18"/>
  <c r="AM127" i="18" s="1"/>
  <c r="AN127" i="18" s="1"/>
  <c r="BI126" i="18"/>
  <c r="BJ126" i="18" s="1"/>
  <c r="BG126" i="18"/>
  <c r="BH126" i="18" s="1"/>
  <c r="BE126" i="18"/>
  <c r="BF126" i="18" s="1"/>
  <c r="BC126" i="18"/>
  <c r="BD126" i="18" s="1"/>
  <c r="AY126" i="18"/>
  <c r="AZ126" i="18" s="1"/>
  <c r="AW126" i="18"/>
  <c r="AX126" i="18" s="1"/>
  <c r="AU126" i="18"/>
  <c r="AV126" i="18" s="1"/>
  <c r="AS126" i="18"/>
  <c r="AT126" i="18" s="1"/>
  <c r="AQ126" i="18"/>
  <c r="AR126" i="18" s="1"/>
  <c r="AM126" i="18"/>
  <c r="AN126" i="18" s="1"/>
  <c r="AG126" i="18"/>
  <c r="Q126" i="18"/>
  <c r="N126" i="18"/>
  <c r="L126" i="18"/>
  <c r="J126" i="18"/>
  <c r="BA126" i="18" s="1"/>
  <c r="BB126" i="18" s="1"/>
  <c r="H126" i="18"/>
  <c r="AO126" i="18" s="1"/>
  <c r="AP126" i="18" s="1"/>
  <c r="BI125" i="18"/>
  <c r="BJ125" i="18" s="1"/>
  <c r="BG125" i="18"/>
  <c r="BH125" i="18" s="1"/>
  <c r="BE125" i="18"/>
  <c r="BF125" i="18" s="1"/>
  <c r="BA125" i="18"/>
  <c r="BB125" i="18" s="1"/>
  <c r="AY125" i="18"/>
  <c r="AZ125" i="18" s="1"/>
  <c r="AW125" i="18"/>
  <c r="AX125" i="18" s="1"/>
  <c r="AU125" i="18"/>
  <c r="AV125" i="18" s="1"/>
  <c r="AS125" i="18"/>
  <c r="AT125" i="18" s="1"/>
  <c r="AO125" i="18"/>
  <c r="AP125" i="18" s="1"/>
  <c r="AM125" i="18"/>
  <c r="AN125" i="18" s="1"/>
  <c r="AG125" i="18"/>
  <c r="Q125" i="18"/>
  <c r="N125" i="18"/>
  <c r="L125" i="18"/>
  <c r="J125" i="18"/>
  <c r="BC125" i="18" s="1"/>
  <c r="BD125" i="18" s="1"/>
  <c r="H125" i="18"/>
  <c r="AQ125" i="18" s="1"/>
  <c r="AR125" i="18" s="1"/>
  <c r="BI124" i="18"/>
  <c r="BJ124" i="18" s="1"/>
  <c r="BG124" i="18"/>
  <c r="BH124" i="18" s="1"/>
  <c r="BE124" i="18"/>
  <c r="BF124" i="18" s="1"/>
  <c r="BC124" i="18"/>
  <c r="BD124" i="18" s="1"/>
  <c r="BA124" i="18"/>
  <c r="BB124" i="18" s="1"/>
  <c r="AW124" i="18"/>
  <c r="AX124" i="18" s="1"/>
  <c r="AU124" i="18"/>
  <c r="AV124" i="18" s="1"/>
  <c r="AS124" i="18"/>
  <c r="AT124" i="18" s="1"/>
  <c r="AQ124" i="18"/>
  <c r="AR124" i="18" s="1"/>
  <c r="AO124" i="18"/>
  <c r="AP124" i="18" s="1"/>
  <c r="AG124" i="18"/>
  <c r="Q124" i="18"/>
  <c r="N124" i="18"/>
  <c r="L124" i="18"/>
  <c r="J124" i="18"/>
  <c r="AY124" i="18" s="1"/>
  <c r="AZ124" i="18" s="1"/>
  <c r="H124" i="18"/>
  <c r="AM124" i="18" s="1"/>
  <c r="AN124" i="18" s="1"/>
  <c r="BI123" i="18"/>
  <c r="BJ123" i="18" s="1"/>
  <c r="BG123" i="18"/>
  <c r="BH123" i="18" s="1"/>
  <c r="BE123" i="18"/>
  <c r="BF123" i="18" s="1"/>
  <c r="BC123" i="18"/>
  <c r="BD123" i="18" s="1"/>
  <c r="AY123" i="18"/>
  <c r="AZ123" i="18" s="1"/>
  <c r="AW123" i="18"/>
  <c r="AX123" i="18" s="1"/>
  <c r="AU123" i="18"/>
  <c r="AV123" i="18" s="1"/>
  <c r="AS123" i="18"/>
  <c r="AT123" i="18" s="1"/>
  <c r="AQ123" i="18"/>
  <c r="AR123" i="18" s="1"/>
  <c r="AM123" i="18"/>
  <c r="AN123" i="18" s="1"/>
  <c r="AG123" i="18"/>
  <c r="Q123" i="18"/>
  <c r="N123" i="18"/>
  <c r="L123" i="18"/>
  <c r="J123" i="18"/>
  <c r="BA123" i="18" s="1"/>
  <c r="BB123" i="18" s="1"/>
  <c r="H123" i="18"/>
  <c r="AO123" i="18" s="1"/>
  <c r="AP123" i="18" s="1"/>
  <c r="BI122" i="18"/>
  <c r="BJ122" i="18" s="1"/>
  <c r="BG122" i="18"/>
  <c r="BH122" i="18" s="1"/>
  <c r="BE122" i="18"/>
  <c r="BF122" i="18" s="1"/>
  <c r="BA122" i="18"/>
  <c r="BB122" i="18" s="1"/>
  <c r="AY122" i="18"/>
  <c r="AZ122" i="18" s="1"/>
  <c r="AW122" i="18"/>
  <c r="AX122" i="18" s="1"/>
  <c r="AU122" i="18"/>
  <c r="AV122" i="18" s="1"/>
  <c r="AS122" i="18"/>
  <c r="AT122" i="18" s="1"/>
  <c r="AO122" i="18"/>
  <c r="AP122" i="18" s="1"/>
  <c r="AM122" i="18"/>
  <c r="AN122" i="18" s="1"/>
  <c r="AG122" i="18"/>
  <c r="Q122" i="18"/>
  <c r="N122" i="18"/>
  <c r="L122" i="18"/>
  <c r="J122" i="18"/>
  <c r="BC122" i="18" s="1"/>
  <c r="BD122" i="18" s="1"/>
  <c r="H122" i="18"/>
  <c r="AQ122" i="18" s="1"/>
  <c r="AR122" i="18" s="1"/>
  <c r="BI121" i="18"/>
  <c r="BJ121" i="18" s="1"/>
  <c r="BG121" i="18"/>
  <c r="BH121" i="18" s="1"/>
  <c r="BE121" i="18"/>
  <c r="BF121" i="18" s="1"/>
  <c r="BC121" i="18"/>
  <c r="BD121" i="18" s="1"/>
  <c r="BA121" i="18"/>
  <c r="BB121" i="18" s="1"/>
  <c r="AY121" i="18"/>
  <c r="AZ121" i="18" s="1"/>
  <c r="AW121" i="18"/>
  <c r="AX121" i="18" s="1"/>
  <c r="AU121" i="18"/>
  <c r="AV121" i="18" s="1"/>
  <c r="AS121" i="18"/>
  <c r="AT121" i="18" s="1"/>
  <c r="AQ121" i="18"/>
  <c r="AR121" i="18" s="1"/>
  <c r="AO121" i="18"/>
  <c r="AP121" i="18" s="1"/>
  <c r="AM121" i="18"/>
  <c r="AN121" i="18" s="1"/>
  <c r="BI120" i="18"/>
  <c r="BJ120" i="18" s="1"/>
  <c r="BG120" i="18"/>
  <c r="BH120" i="18" s="1"/>
  <c r="BE120" i="18"/>
  <c r="BF120" i="18" s="1"/>
  <c r="BC120" i="18"/>
  <c r="BD120" i="18" s="1"/>
  <c r="BA120" i="18"/>
  <c r="BB120" i="18" s="1"/>
  <c r="AY120" i="18"/>
  <c r="AZ120" i="18" s="1"/>
  <c r="AW120" i="18"/>
  <c r="AX120" i="18" s="1"/>
  <c r="AU120" i="18"/>
  <c r="AV120" i="18" s="1"/>
  <c r="AS120" i="18"/>
  <c r="AT120" i="18" s="1"/>
  <c r="AQ120" i="18"/>
  <c r="AR120" i="18" s="1"/>
  <c r="AO120" i="18"/>
  <c r="AP120" i="18" s="1"/>
  <c r="AM120" i="18"/>
  <c r="AN120" i="18" s="1"/>
  <c r="AG120" i="18"/>
  <c r="Q120" i="18"/>
  <c r="AK120" i="18" s="1"/>
  <c r="AL120" i="18" s="1"/>
  <c r="N120" i="18"/>
  <c r="L120" i="18"/>
  <c r="J120" i="18"/>
  <c r="H120" i="18"/>
  <c r="A120" i="18"/>
  <c r="BI119" i="18"/>
  <c r="BJ119" i="18" s="1"/>
  <c r="BG119" i="18"/>
  <c r="BH119" i="18" s="1"/>
  <c r="BE119" i="18"/>
  <c r="BF119" i="18" s="1"/>
  <c r="BC119" i="18"/>
  <c r="BD119" i="18" s="1"/>
  <c r="BA119" i="18"/>
  <c r="BB119" i="18" s="1"/>
  <c r="AY119" i="18"/>
  <c r="AZ119" i="18" s="1"/>
  <c r="AW119" i="18"/>
  <c r="AX119" i="18" s="1"/>
  <c r="AU119" i="18"/>
  <c r="AV119" i="18" s="1"/>
  <c r="AS119" i="18"/>
  <c r="AT119" i="18" s="1"/>
  <c r="AQ119" i="18"/>
  <c r="AR119" i="18" s="1"/>
  <c r="AO119" i="18"/>
  <c r="AP119" i="18" s="1"/>
  <c r="AM119" i="18"/>
  <c r="AN119" i="18" s="1"/>
  <c r="AG119" i="18"/>
  <c r="Q119" i="18"/>
  <c r="AK119" i="18" s="1"/>
  <c r="AL119" i="18" s="1"/>
  <c r="N119" i="18"/>
  <c r="L119" i="18"/>
  <c r="J119" i="18"/>
  <c r="H119" i="18"/>
  <c r="A119" i="18"/>
  <c r="BI118" i="18"/>
  <c r="BJ118" i="18" s="1"/>
  <c r="BG118" i="18"/>
  <c r="BH118" i="18" s="1"/>
  <c r="BE118" i="18"/>
  <c r="BF118" i="18" s="1"/>
  <c r="BC118" i="18"/>
  <c r="BD118" i="18" s="1"/>
  <c r="BA118" i="18"/>
  <c r="BB118" i="18" s="1"/>
  <c r="AY118" i="18"/>
  <c r="AZ118" i="18" s="1"/>
  <c r="AW118" i="18"/>
  <c r="AX118" i="18" s="1"/>
  <c r="AU118" i="18"/>
  <c r="AV118" i="18" s="1"/>
  <c r="AS118" i="18"/>
  <c r="AT118" i="18" s="1"/>
  <c r="AQ118" i="18"/>
  <c r="AR118" i="18" s="1"/>
  <c r="AO118" i="18"/>
  <c r="AP118" i="18" s="1"/>
  <c r="AM118" i="18"/>
  <c r="AN118" i="18" s="1"/>
  <c r="AG118" i="18"/>
  <c r="Q118" i="18"/>
  <c r="AK118" i="18" s="1"/>
  <c r="AL118" i="18" s="1"/>
  <c r="N118" i="18"/>
  <c r="L118" i="18"/>
  <c r="J118" i="18"/>
  <c r="H118" i="18"/>
  <c r="A118" i="18"/>
  <c r="BI117" i="18"/>
  <c r="BJ117" i="18" s="1"/>
  <c r="BG117" i="18"/>
  <c r="BH117" i="18" s="1"/>
  <c r="BE117" i="18"/>
  <c r="BF117" i="18" s="1"/>
  <c r="BC117" i="18"/>
  <c r="BD117" i="18" s="1"/>
  <c r="BA117" i="18"/>
  <c r="BB117" i="18" s="1"/>
  <c r="AY117" i="18"/>
  <c r="AZ117" i="18" s="1"/>
  <c r="AW117" i="18"/>
  <c r="AX117" i="18" s="1"/>
  <c r="AU117" i="18"/>
  <c r="AV117" i="18" s="1"/>
  <c r="AS117" i="18"/>
  <c r="AT117" i="18" s="1"/>
  <c r="AQ117" i="18"/>
  <c r="AR117" i="18" s="1"/>
  <c r="AO117" i="18"/>
  <c r="AP117" i="18" s="1"/>
  <c r="AM117" i="18"/>
  <c r="AN117" i="18" s="1"/>
  <c r="AG117" i="18"/>
  <c r="Q117" i="18"/>
  <c r="AK117" i="18" s="1"/>
  <c r="AL117" i="18" s="1"/>
  <c r="N117" i="18"/>
  <c r="L117" i="18"/>
  <c r="J117" i="18"/>
  <c r="H117" i="18"/>
  <c r="A117" i="18"/>
  <c r="BI116" i="18"/>
  <c r="BJ116" i="18" s="1"/>
  <c r="BG116" i="18"/>
  <c r="BH116" i="18" s="1"/>
  <c r="BE116" i="18"/>
  <c r="BF116" i="18" s="1"/>
  <c r="BC116" i="18"/>
  <c r="BD116" i="18" s="1"/>
  <c r="BA116" i="18"/>
  <c r="BB116" i="18" s="1"/>
  <c r="AY116" i="18"/>
  <c r="AZ116" i="18" s="1"/>
  <c r="AW116" i="18"/>
  <c r="AX116" i="18" s="1"/>
  <c r="AU116" i="18"/>
  <c r="AV116" i="18" s="1"/>
  <c r="AQ116" i="18"/>
  <c r="AR116" i="18" s="1"/>
  <c r="AO116" i="18"/>
  <c r="AP116" i="18" s="1"/>
  <c r="AM116" i="18"/>
  <c r="AN116" i="18" s="1"/>
  <c r="AG116" i="18"/>
  <c r="Q116" i="18"/>
  <c r="AK116" i="18" s="1"/>
  <c r="AL116" i="18" s="1"/>
  <c r="N116" i="18"/>
  <c r="L116" i="18"/>
  <c r="J116" i="18"/>
  <c r="H116" i="18"/>
  <c r="AS116" i="18" s="1"/>
  <c r="AT116" i="18" s="1"/>
  <c r="BI115" i="18"/>
  <c r="BJ115" i="18" s="1"/>
  <c r="BG115" i="18"/>
  <c r="BH115" i="18" s="1"/>
  <c r="BE115" i="18"/>
  <c r="BF115" i="18" s="1"/>
  <c r="BC115" i="18"/>
  <c r="BD115" i="18" s="1"/>
  <c r="BA115" i="18"/>
  <c r="BB115" i="18" s="1"/>
  <c r="AY115" i="18"/>
  <c r="AZ115" i="18" s="1"/>
  <c r="AW115" i="18"/>
  <c r="AX115" i="18" s="1"/>
  <c r="AU115" i="18"/>
  <c r="AV115" i="18" s="1"/>
  <c r="AQ115" i="18"/>
  <c r="AR115" i="18" s="1"/>
  <c r="AO115" i="18"/>
  <c r="AP115" i="18" s="1"/>
  <c r="AM115" i="18"/>
  <c r="AN115" i="18" s="1"/>
  <c r="AG115" i="18"/>
  <c r="Q115" i="18"/>
  <c r="AK115" i="18" s="1"/>
  <c r="AL115" i="18" s="1"/>
  <c r="N115" i="18"/>
  <c r="L115" i="18"/>
  <c r="J115" i="18"/>
  <c r="H115" i="18"/>
  <c r="AS115" i="18" s="1"/>
  <c r="AT115" i="18" s="1"/>
  <c r="BI114" i="18"/>
  <c r="BJ114" i="18" s="1"/>
  <c r="BG114" i="18"/>
  <c r="BH114" i="18" s="1"/>
  <c r="BE114" i="18"/>
  <c r="BF114" i="18" s="1"/>
  <c r="BC114" i="18"/>
  <c r="BD114" i="18" s="1"/>
  <c r="BA114" i="18"/>
  <c r="BB114" i="18" s="1"/>
  <c r="AY114" i="18"/>
  <c r="AZ114" i="18" s="1"/>
  <c r="AW114" i="18"/>
  <c r="AX114" i="18" s="1"/>
  <c r="AU114" i="18"/>
  <c r="AV114" i="18" s="1"/>
  <c r="AS114" i="18"/>
  <c r="AT114" i="18" s="1"/>
  <c r="AQ114" i="18"/>
  <c r="AR114" i="18" s="1"/>
  <c r="AO114" i="18"/>
  <c r="AP114" i="18" s="1"/>
  <c r="AM114" i="18"/>
  <c r="AN114" i="18" s="1"/>
  <c r="AG114" i="18"/>
  <c r="Q114" i="18"/>
  <c r="AK114" i="18" s="1"/>
  <c r="AL114" i="18" s="1"/>
  <c r="N114" i="18"/>
  <c r="L114" i="18"/>
  <c r="J114" i="18"/>
  <c r="H114" i="18"/>
  <c r="BI113" i="18"/>
  <c r="BJ113" i="18" s="1"/>
  <c r="BG113" i="18"/>
  <c r="BH113" i="18" s="1"/>
  <c r="BC113" i="18"/>
  <c r="BD113" i="18" s="1"/>
  <c r="BA113" i="18"/>
  <c r="BB113" i="18" s="1"/>
  <c r="AY113" i="18"/>
  <c r="AZ113" i="18" s="1"/>
  <c r="AW113" i="18"/>
  <c r="AX113" i="18" s="1"/>
  <c r="AQ113" i="18"/>
  <c r="AR113" i="18" s="1"/>
  <c r="AO113" i="18"/>
  <c r="AP113" i="18" s="1"/>
  <c r="AM113" i="18"/>
  <c r="AN113" i="18" s="1"/>
  <c r="AG113" i="18"/>
  <c r="Q113" i="18"/>
  <c r="AK113" i="18" s="1"/>
  <c r="AL113" i="18" s="1"/>
  <c r="N113" i="18"/>
  <c r="L113" i="18"/>
  <c r="J113" i="18"/>
  <c r="BE113" i="18" s="1"/>
  <c r="BF113" i="18" s="1"/>
  <c r="H113" i="18"/>
  <c r="AU113" i="18" s="1"/>
  <c r="AV113" i="18" s="1"/>
  <c r="BI112" i="18"/>
  <c r="BJ112" i="18" s="1"/>
  <c r="BG112" i="18"/>
  <c r="BH112" i="18" s="1"/>
  <c r="BE112" i="18"/>
  <c r="BF112" i="18" s="1"/>
  <c r="BC112" i="18"/>
  <c r="BD112" i="18" s="1"/>
  <c r="BA112" i="18"/>
  <c r="BB112" i="18" s="1"/>
  <c r="AY112" i="18"/>
  <c r="AZ112" i="18" s="1"/>
  <c r="AW112" i="18"/>
  <c r="AX112" i="18" s="1"/>
  <c r="AU112" i="18"/>
  <c r="AV112" i="18" s="1"/>
  <c r="AQ112" i="18"/>
  <c r="AR112" i="18" s="1"/>
  <c r="AO112" i="18"/>
  <c r="AP112" i="18" s="1"/>
  <c r="AM112" i="18"/>
  <c r="AN112" i="18" s="1"/>
  <c r="AG112" i="18"/>
  <c r="Q112" i="18"/>
  <c r="AK112" i="18" s="1"/>
  <c r="AL112" i="18" s="1"/>
  <c r="N112" i="18"/>
  <c r="L112" i="18"/>
  <c r="J112" i="18"/>
  <c r="H112" i="18"/>
  <c r="BI111" i="18"/>
  <c r="BJ111" i="18" s="1"/>
  <c r="BG111" i="18"/>
  <c r="BH111" i="18" s="1"/>
  <c r="BC111" i="18"/>
  <c r="BD111" i="18" s="1"/>
  <c r="BA111" i="18"/>
  <c r="BB111" i="18" s="1"/>
  <c r="AY111" i="18"/>
  <c r="AZ111" i="18" s="1"/>
  <c r="AW111" i="18"/>
  <c r="AX111" i="18" s="1"/>
  <c r="AU111" i="18"/>
  <c r="AV111" i="18" s="1"/>
  <c r="AQ111" i="18"/>
  <c r="AR111" i="18" s="1"/>
  <c r="AO111" i="18"/>
  <c r="AP111" i="18" s="1"/>
  <c r="AM111" i="18"/>
  <c r="AN111" i="18" s="1"/>
  <c r="AG111" i="18"/>
  <c r="Q111" i="18"/>
  <c r="AK111" i="18" s="1"/>
  <c r="AL111" i="18" s="1"/>
  <c r="N111" i="18"/>
  <c r="L111" i="18"/>
  <c r="J111" i="18"/>
  <c r="BE111" i="18" s="1"/>
  <c r="BF111" i="18" s="1"/>
  <c r="H111" i="18"/>
  <c r="AS111" i="18" s="1"/>
  <c r="AT111" i="18" s="1"/>
  <c r="BI110" i="18"/>
  <c r="BJ110" i="18" s="1"/>
  <c r="BG110" i="18"/>
  <c r="BH110" i="18" s="1"/>
  <c r="BC110" i="18"/>
  <c r="BD110" i="18" s="1"/>
  <c r="BA110" i="18"/>
  <c r="BB110" i="18" s="1"/>
  <c r="AY110" i="18"/>
  <c r="AZ110" i="18" s="1"/>
  <c r="AW110" i="18"/>
  <c r="AX110" i="18" s="1"/>
  <c r="AU110" i="18"/>
  <c r="AV110" i="18" s="1"/>
  <c r="AS110" i="18"/>
  <c r="AT110" i="18" s="1"/>
  <c r="AQ110" i="18"/>
  <c r="AR110" i="18" s="1"/>
  <c r="AO110" i="18"/>
  <c r="AP110" i="18" s="1"/>
  <c r="AM110" i="18"/>
  <c r="AN110" i="18" s="1"/>
  <c r="AG110" i="18"/>
  <c r="Q110" i="18"/>
  <c r="AK110" i="18" s="1"/>
  <c r="AL110" i="18" s="1"/>
  <c r="N110" i="18"/>
  <c r="L110" i="18"/>
  <c r="J110" i="18"/>
  <c r="BE110" i="18" s="1"/>
  <c r="BF110" i="18" s="1"/>
  <c r="H110" i="18"/>
  <c r="BI109" i="18"/>
  <c r="BJ109" i="18" s="1"/>
  <c r="BG109" i="18"/>
  <c r="BH109" i="18" s="1"/>
  <c r="BC109" i="18"/>
  <c r="BD109" i="18" s="1"/>
  <c r="BA109" i="18"/>
  <c r="BB109" i="18" s="1"/>
  <c r="AW109" i="18"/>
  <c r="AX109" i="18" s="1"/>
  <c r="AU109" i="18"/>
  <c r="AV109" i="18" s="1"/>
  <c r="AS109" i="18"/>
  <c r="AT109" i="18" s="1"/>
  <c r="AQ109" i="18"/>
  <c r="AR109" i="18" s="1"/>
  <c r="AO109" i="18"/>
  <c r="AP109" i="18" s="1"/>
  <c r="AG109" i="18"/>
  <c r="Q109" i="18"/>
  <c r="AK109" i="18" s="1"/>
  <c r="AL109" i="18" s="1"/>
  <c r="N109" i="18"/>
  <c r="L109" i="18"/>
  <c r="J109" i="18"/>
  <c r="AY109" i="18" s="1"/>
  <c r="AZ109" i="18" s="1"/>
  <c r="H109" i="18"/>
  <c r="AM109" i="18" s="1"/>
  <c r="AN109" i="18" s="1"/>
  <c r="BI108" i="18"/>
  <c r="BJ108" i="18" s="1"/>
  <c r="BG108" i="18"/>
  <c r="BH108" i="18" s="1"/>
  <c r="BC108" i="18"/>
  <c r="BD108" i="18" s="1"/>
  <c r="BA108" i="18"/>
  <c r="BB108" i="18" s="1"/>
  <c r="AW108" i="18"/>
  <c r="AX108" i="18" s="1"/>
  <c r="AU108" i="18"/>
  <c r="AV108" i="18" s="1"/>
  <c r="AQ108" i="18"/>
  <c r="AR108" i="18" s="1"/>
  <c r="AO108" i="18"/>
  <c r="AP108" i="18" s="1"/>
  <c r="AM108" i="18"/>
  <c r="AN108" i="18" s="1"/>
  <c r="AG108" i="18"/>
  <c r="Q108" i="18"/>
  <c r="N108" i="18"/>
  <c r="L108" i="18"/>
  <c r="J108" i="18"/>
  <c r="AY108" i="18" s="1"/>
  <c r="AZ108" i="18" s="1"/>
  <c r="H108" i="18"/>
  <c r="BG107" i="18"/>
  <c r="BH107" i="18" s="1"/>
  <c r="BC107" i="18"/>
  <c r="BD107" i="18" s="1"/>
  <c r="BA107" i="18"/>
  <c r="BB107" i="18" s="1"/>
  <c r="AW107" i="18"/>
  <c r="AX107" i="18" s="1"/>
  <c r="AU107" i="18"/>
  <c r="AV107" i="18" s="1"/>
  <c r="AQ107" i="18"/>
  <c r="AR107" i="18" s="1"/>
  <c r="AO107" i="18"/>
  <c r="AP107" i="18" s="1"/>
  <c r="AG107" i="18"/>
  <c r="Q107" i="18"/>
  <c r="N107" i="18"/>
  <c r="L107" i="18"/>
  <c r="J107" i="18"/>
  <c r="BI107" i="18" s="1"/>
  <c r="BJ107" i="18" s="1"/>
  <c r="H107" i="18"/>
  <c r="AM107" i="18" s="1"/>
  <c r="AN107" i="18" s="1"/>
  <c r="BI106" i="18"/>
  <c r="BJ106" i="18" s="1"/>
  <c r="BG106" i="18"/>
  <c r="BH106" i="18" s="1"/>
  <c r="BE106" i="18"/>
  <c r="BF106" i="18" s="1"/>
  <c r="BC106" i="18"/>
  <c r="BD106" i="18" s="1"/>
  <c r="BA106" i="18"/>
  <c r="BB106" i="18" s="1"/>
  <c r="AW106" i="18"/>
  <c r="AX106" i="18" s="1"/>
  <c r="AU106" i="18"/>
  <c r="AV106" i="18" s="1"/>
  <c r="AS106" i="18"/>
  <c r="AT106" i="18" s="1"/>
  <c r="AQ106" i="18"/>
  <c r="AR106" i="18" s="1"/>
  <c r="AO106" i="18"/>
  <c r="AP106" i="18" s="1"/>
  <c r="AG106" i="18"/>
  <c r="Q106" i="18"/>
  <c r="AK106" i="18" s="1"/>
  <c r="AL106" i="18" s="1"/>
  <c r="N106" i="18"/>
  <c r="L106" i="18"/>
  <c r="J106" i="18"/>
  <c r="AY106" i="18" s="1"/>
  <c r="AZ106" i="18" s="1"/>
  <c r="H106" i="18"/>
  <c r="BG105" i="18"/>
  <c r="BH105" i="18" s="1"/>
  <c r="BE105" i="18"/>
  <c r="BF105" i="18" s="1"/>
  <c r="BC105" i="18"/>
  <c r="BD105" i="18" s="1"/>
  <c r="BA105" i="18"/>
  <c r="BB105" i="18" s="1"/>
  <c r="AU105" i="18"/>
  <c r="AV105" i="18" s="1"/>
  <c r="AS105" i="18"/>
  <c r="AT105" i="18" s="1"/>
  <c r="AQ105" i="18"/>
  <c r="AR105" i="18" s="1"/>
  <c r="AO105" i="18"/>
  <c r="AP105" i="18" s="1"/>
  <c r="AG105" i="18"/>
  <c r="Q105" i="18"/>
  <c r="AK105" i="18" s="1"/>
  <c r="AL105" i="18" s="1"/>
  <c r="N105" i="18"/>
  <c r="L105" i="18"/>
  <c r="J105" i="18"/>
  <c r="BI105" i="18" s="1"/>
  <c r="BJ105" i="18" s="1"/>
  <c r="H105" i="18"/>
  <c r="AW105" i="18" s="1"/>
  <c r="AX105" i="18" s="1"/>
  <c r="A105" i="18"/>
  <c r="A107" i="18" s="1"/>
  <c r="BG104" i="18"/>
  <c r="BH104" i="18" s="1"/>
  <c r="BE104" i="18"/>
  <c r="BF104" i="18" s="1"/>
  <c r="BC104" i="18"/>
  <c r="BD104" i="18" s="1"/>
  <c r="BA104" i="18"/>
  <c r="BB104" i="18" s="1"/>
  <c r="AY104" i="18"/>
  <c r="AZ104" i="18" s="1"/>
  <c r="AW104" i="18"/>
  <c r="AU104" i="18"/>
  <c r="AV104" i="18" s="1"/>
  <c r="AS104" i="18"/>
  <c r="AT104" i="18" s="1"/>
  <c r="AQ104" i="18"/>
  <c r="AO104" i="18"/>
  <c r="AM104" i="18"/>
  <c r="AN104" i="18" s="1"/>
  <c r="AG104" i="18"/>
  <c r="Q104" i="18"/>
  <c r="AK104" i="18" s="1"/>
  <c r="N104" i="18"/>
  <c r="L104" i="18"/>
  <c r="J104" i="18"/>
  <c r="BI104" i="18" s="1"/>
  <c r="H104" i="18"/>
  <c r="A58" i="18"/>
  <c r="A59" i="18" s="1"/>
  <c r="B30" i="14"/>
  <c r="B89" i="17" a="1"/>
  <c r="BG133" i="18" l="1"/>
  <c r="BH133" i="18" s="1"/>
  <c r="BA170" i="18"/>
  <c r="BB170" i="18" s="1"/>
  <c r="AW134" i="18"/>
  <c r="AX134" i="18" s="1"/>
  <c r="AO170" i="18"/>
  <c r="AP170" i="18" s="1"/>
  <c r="AI111" i="18"/>
  <c r="AJ111" i="18" s="1"/>
  <c r="AS130" i="18"/>
  <c r="AT130" i="18" s="1"/>
  <c r="BI163" i="18"/>
  <c r="BJ163" i="18" s="1"/>
  <c r="BE134" i="18"/>
  <c r="BF134" i="18" s="1"/>
  <c r="AY157" i="18"/>
  <c r="AZ157" i="18" s="1"/>
  <c r="BI134" i="18"/>
  <c r="BJ134" i="18" s="1"/>
  <c r="BG156" i="18"/>
  <c r="BH156" i="18" s="1"/>
  <c r="BE130" i="18"/>
  <c r="BF130" i="18" s="1"/>
  <c r="AI109" i="18"/>
  <c r="AJ109" i="18" s="1"/>
  <c r="AS134" i="18"/>
  <c r="AT134" i="18" s="1"/>
  <c r="AW163" i="18"/>
  <c r="AX163" i="18" s="1"/>
  <c r="BA186" i="18"/>
  <c r="BB186" i="18" s="1"/>
  <c r="AY158" i="18"/>
  <c r="AZ158" i="18" s="1"/>
  <c r="AI112" i="18"/>
  <c r="AJ112" i="18" s="1"/>
  <c r="AW135" i="18"/>
  <c r="AX135" i="18" s="1"/>
  <c r="AS163" i="18"/>
  <c r="AT163" i="18" s="1"/>
  <c r="AM182" i="18"/>
  <c r="AN182" i="18" s="1"/>
  <c r="AI117" i="18"/>
  <c r="AJ117" i="18" s="1"/>
  <c r="AI119" i="18"/>
  <c r="AJ119" i="18" s="1"/>
  <c r="AM186" i="18"/>
  <c r="AN186" i="18" s="1"/>
  <c r="AI104" i="18"/>
  <c r="AJ104" i="18" s="1"/>
  <c r="AK107" i="18"/>
  <c r="AL107" i="18" s="1"/>
  <c r="AI115" i="18"/>
  <c r="AJ115" i="18" s="1"/>
  <c r="BI135" i="18"/>
  <c r="BJ135" i="18" s="1"/>
  <c r="BJ104" i="18"/>
  <c r="AL104" i="18"/>
  <c r="AS113" i="18"/>
  <c r="AT113" i="18" s="1"/>
  <c r="BC196" i="18"/>
  <c r="BC206" i="18" s="1"/>
  <c r="BC195" i="18"/>
  <c r="A106" i="18"/>
  <c r="A108" i="18" s="1"/>
  <c r="AI105" i="18"/>
  <c r="AJ105" i="18" s="1"/>
  <c r="AY105" i="18"/>
  <c r="AZ105" i="18" s="1"/>
  <c r="AI108" i="18"/>
  <c r="AJ108" i="18" s="1"/>
  <c r="AK108" i="18"/>
  <c r="AL108" i="18" s="1"/>
  <c r="AS108" i="18"/>
  <c r="AT108" i="18" s="1"/>
  <c r="AI110" i="18"/>
  <c r="AJ110" i="18" s="1"/>
  <c r="AY155" i="18"/>
  <c r="AZ155" i="18" s="1"/>
  <c r="BG155" i="18"/>
  <c r="BH155" i="18" s="1"/>
  <c r="BA182" i="18"/>
  <c r="BB182" i="18" s="1"/>
  <c r="AY182" i="18"/>
  <c r="AZ182" i="18" s="1"/>
  <c r="BD195" i="18"/>
  <c r="A60" i="18"/>
  <c r="AP104" i="18"/>
  <c r="AX104" i="18"/>
  <c r="BE108" i="18"/>
  <c r="BF108" i="18" s="1"/>
  <c r="BE109" i="18"/>
  <c r="BF109" i="18" s="1"/>
  <c r="AO129" i="18"/>
  <c r="AP129" i="18" s="1"/>
  <c r="BE107" i="18"/>
  <c r="BF107" i="18" s="1"/>
  <c r="AI118" i="18"/>
  <c r="AJ118" i="18" s="1"/>
  <c r="AQ195" i="18"/>
  <c r="AQ196" i="18"/>
  <c r="AQ206" i="18" s="1"/>
  <c r="AI106" i="18"/>
  <c r="AJ106" i="18" s="1"/>
  <c r="AY107" i="18"/>
  <c r="AZ107" i="18" s="1"/>
  <c r="AI120" i="18"/>
  <c r="AJ120" i="18" s="1"/>
  <c r="AR104" i="18"/>
  <c r="AR195" i="18" s="1"/>
  <c r="AI107" i="18"/>
  <c r="AJ107" i="18" s="1"/>
  <c r="AI114" i="18"/>
  <c r="AJ114" i="18" s="1"/>
  <c r="AM105" i="18"/>
  <c r="AN105" i="18" s="1"/>
  <c r="AI116" i="18"/>
  <c r="AJ116" i="18" s="1"/>
  <c r="AM106" i="18"/>
  <c r="AN106" i="18" s="1"/>
  <c r="AS107" i="18"/>
  <c r="AT107" i="18" s="1"/>
  <c r="AS112" i="18"/>
  <c r="AT112" i="18" s="1"/>
  <c r="AI113" i="18"/>
  <c r="AJ113" i="18" s="1"/>
  <c r="BA129" i="18"/>
  <c r="BB129" i="18" s="1"/>
  <c r="AW133" i="18"/>
  <c r="AX133" i="18" s="1"/>
  <c r="BE163" i="18"/>
  <c r="BF163" i="18" s="1"/>
  <c r="AU157" i="18"/>
  <c r="AV157" i="18" s="1"/>
  <c r="AM157" i="18"/>
  <c r="AN157" i="18" s="1"/>
  <c r="AU156" i="18"/>
  <c r="AV156" i="18" s="1"/>
  <c r="AM156" i="18"/>
  <c r="AN156" i="18" s="1"/>
  <c r="A247" i="18"/>
  <c r="AU155" i="18"/>
  <c r="AV155" i="18" s="1"/>
  <c r="AM155" i="18"/>
  <c r="AN155" i="18" s="1"/>
  <c r="AS158" i="18"/>
  <c r="AT158" i="18" s="1"/>
  <c r="B89" i="17"/>
  <c r="F89" i="17" a="1"/>
  <c r="BH195" i="18" l="1"/>
  <c r="BA195" i="18"/>
  <c r="BB195" i="18"/>
  <c r="BF195" i="18"/>
  <c r="BJ195" i="18"/>
  <c r="BA196" i="18"/>
  <c r="BA206" i="18" s="1"/>
  <c r="BI196" i="18"/>
  <c r="BI206" i="18" s="1"/>
  <c r="AX195" i="18"/>
  <c r="AW195" i="18"/>
  <c r="BG195" i="18"/>
  <c r="BG196" i="18"/>
  <c r="BG206" i="18" s="1"/>
  <c r="AP195" i="18"/>
  <c r="AZ195" i="18"/>
  <c r="AV195" i="18"/>
  <c r="AW196" i="18"/>
  <c r="AW206" i="18" s="1"/>
  <c r="BI195" i="18"/>
  <c r="AO195" i="18"/>
  <c r="AO196" i="18"/>
  <c r="AO206" i="18" s="1"/>
  <c r="AT195" i="18"/>
  <c r="AN195" i="18"/>
  <c r="AS195" i="18"/>
  <c r="AY195" i="18"/>
  <c r="AU196" i="18"/>
  <c r="AU206" i="18" s="1"/>
  <c r="AS196" i="18"/>
  <c r="AS206" i="18" s="1"/>
  <c r="AY196" i="18"/>
  <c r="AY206" i="18" s="1"/>
  <c r="AQ205" i="18"/>
  <c r="AM196" i="18"/>
  <c r="AM206" i="18" s="1"/>
  <c r="A249" i="18"/>
  <c r="AM195" i="18"/>
  <c r="AL121" i="18"/>
  <c r="A61" i="18"/>
  <c r="A109" i="18"/>
  <c r="A110" i="18" s="1"/>
  <c r="AK121" i="18"/>
  <c r="BE195" i="18"/>
  <c r="AI121" i="18"/>
  <c r="BE196" i="18"/>
  <c r="BE206" i="18" s="1"/>
  <c r="BC205" i="18"/>
  <c r="AJ121" i="18"/>
  <c r="AU195" i="18"/>
  <c r="F89" i="17"/>
  <c r="G89" i="17" a="1"/>
  <c r="BA205" i="18" l="1"/>
  <c r="BG205" i="18"/>
  <c r="AW205" i="18"/>
  <c r="BE205" i="18"/>
  <c r="AO205" i="18"/>
  <c r="BI205" i="18"/>
  <c r="AU205" i="18"/>
  <c r="AY205" i="18"/>
  <c r="AS205" i="18"/>
  <c r="AM205" i="18"/>
  <c r="A62" i="18"/>
  <c r="A111" i="18"/>
  <c r="A251" i="18"/>
  <c r="A253" i="18"/>
  <c r="G89" i="17"/>
  <c r="G71" i="17"/>
  <c r="I73" i="17" s="1"/>
  <c r="D102" i="17" s="1"/>
  <c r="G65" i="17"/>
  <c r="I65" i="17" s="1"/>
  <c r="G56" i="17"/>
  <c r="G52" i="17"/>
  <c r="I52" i="17" s="1"/>
  <c r="F51" i="17"/>
  <c r="G48" i="17"/>
  <c r="I48" i="17" s="1"/>
  <c r="F51" i="13"/>
  <c r="F51" i="11"/>
  <c r="F51" i="9"/>
  <c r="G88" i="17" a="1"/>
  <c r="G87" i="17" a="1"/>
  <c r="G86" i="17" a="1"/>
  <c r="F88" i="17" a="1"/>
  <c r="F86" i="17" a="1"/>
  <c r="F87" i="17" a="1"/>
  <c r="G89" i="11" a="1"/>
  <c r="F89" i="11" a="1"/>
  <c r="G88" i="11" a="1"/>
  <c r="F88" i="11" a="1"/>
  <c r="G87" i="11" a="1"/>
  <c r="F87" i="11" a="1"/>
  <c r="F86" i="11" a="1"/>
  <c r="G86" i="11" a="1"/>
  <c r="F85" i="11" a="1"/>
  <c r="G85" i="11" a="1"/>
  <c r="F85" i="17" a="1"/>
  <c r="G85" i="17" a="1"/>
  <c r="B89" i="11" a="1"/>
  <c r="B88" i="11" a="1"/>
  <c r="B87" i="11" a="1"/>
  <c r="B87" i="17" a="1"/>
  <c r="B85" i="17" a="1"/>
  <c r="B88" i="17" a="1"/>
  <c r="B86" i="11" a="1"/>
  <c r="B86" i="17" a="1"/>
  <c r="B85" i="11" a="1"/>
  <c r="A254" i="18" l="1"/>
  <c r="A256" i="18" s="1"/>
  <c r="A63" i="18"/>
  <c r="A112" i="18"/>
  <c r="A113" i="18" s="1"/>
  <c r="D100" i="17"/>
  <c r="G88" i="17"/>
  <c r="G87" i="17"/>
  <c r="G86" i="17"/>
  <c r="G85" i="17"/>
  <c r="F85" i="17"/>
  <c r="F87" i="17"/>
  <c r="F86" i="17"/>
  <c r="F88" i="17"/>
  <c r="B88" i="17"/>
  <c r="B85" i="17"/>
  <c r="B86" i="17"/>
  <c r="B87" i="17"/>
  <c r="D101" i="17"/>
  <c r="F89" i="11"/>
  <c r="G89" i="11"/>
  <c r="F88" i="11"/>
  <c r="G88" i="11"/>
  <c r="F87" i="11"/>
  <c r="G87" i="11"/>
  <c r="G86" i="11"/>
  <c r="F86" i="11"/>
  <c r="F85" i="11"/>
  <c r="G85" i="11"/>
  <c r="B89" i="11"/>
  <c r="B88" i="11"/>
  <c r="B87" i="11"/>
  <c r="B86" i="11"/>
  <c r="B85" i="11"/>
  <c r="A257" i="18" l="1"/>
  <c r="A114" i="18"/>
  <c r="A64" i="18"/>
  <c r="A65" i="18" s="1"/>
  <c r="G71" i="11"/>
  <c r="I73" i="11" s="1"/>
  <c r="G65" i="11"/>
  <c r="I65" i="11" s="1"/>
  <c r="G56" i="11"/>
  <c r="G52" i="11"/>
  <c r="I52" i="11" s="1"/>
  <c r="D94" i="11" s="1"/>
  <c r="G50" i="11"/>
  <c r="I50" i="11" s="1"/>
  <c r="G49" i="11"/>
  <c r="I49" i="11" s="1"/>
  <c r="G48" i="11"/>
  <c r="I48" i="11" s="1"/>
  <c r="H193" i="13"/>
  <c r="H193" i="9"/>
  <c r="D232" i="13"/>
  <c r="D166" i="13"/>
  <c r="L147" i="13"/>
  <c r="G149" i="13"/>
  <c r="L149" i="13" s="1"/>
  <c r="G148" i="13"/>
  <c r="L148" i="13" s="1"/>
  <c r="G147" i="13"/>
  <c r="G146" i="13"/>
  <c r="L146" i="13" s="1"/>
  <c r="G145" i="13"/>
  <c r="L145" i="13" s="1"/>
  <c r="G144" i="13"/>
  <c r="L144" i="13" s="1"/>
  <c r="G143" i="13"/>
  <c r="L143" i="13" s="1"/>
  <c r="G142" i="13"/>
  <c r="L142" i="13" s="1"/>
  <c r="G141" i="13"/>
  <c r="L141" i="13" s="1"/>
  <c r="G140" i="13"/>
  <c r="L140" i="13" s="1"/>
  <c r="G139" i="13"/>
  <c r="L139" i="13" s="1"/>
  <c r="G138" i="13"/>
  <c r="L138" i="13" s="1"/>
  <c r="G137" i="13"/>
  <c r="L137" i="13" s="1"/>
  <c r="G136" i="13"/>
  <c r="L136" i="13" s="1"/>
  <c r="B46" i="14"/>
  <c r="A46" i="14"/>
  <c r="B44" i="14"/>
  <c r="B43" i="14"/>
  <c r="B42" i="14"/>
  <c r="B41" i="14"/>
  <c r="B40" i="14"/>
  <c r="B39" i="14"/>
  <c r="B38" i="14"/>
  <c r="B37" i="14"/>
  <c r="B36" i="14"/>
  <c r="B35" i="14"/>
  <c r="B34" i="14"/>
  <c r="B33" i="14"/>
  <c r="B32" i="14"/>
  <c r="B31" i="14"/>
  <c r="B29" i="14"/>
  <c r="B28" i="14"/>
  <c r="B27" i="14"/>
  <c r="B26" i="14"/>
  <c r="B25" i="14"/>
  <c r="B24" i="14"/>
  <c r="B23" i="14"/>
  <c r="B22" i="14"/>
  <c r="B21" i="14"/>
  <c r="B20" i="14"/>
  <c r="B19" i="14"/>
  <c r="B18" i="14"/>
  <c r="B17" i="14"/>
  <c r="B16" i="14"/>
  <c r="B15" i="14"/>
  <c r="B14" i="14"/>
  <c r="B13" i="14"/>
  <c r="B12" i="14"/>
  <c r="B11" i="14"/>
  <c r="B10" i="14"/>
  <c r="B9" i="14"/>
  <c r="B8" i="14"/>
  <c r="G71" i="13"/>
  <c r="I73" i="13" s="1"/>
  <c r="G65" i="13"/>
  <c r="I65" i="13" s="1"/>
  <c r="G56" i="13"/>
  <c r="G52" i="13"/>
  <c r="I52" i="13" s="1"/>
  <c r="G48" i="13"/>
  <c r="I48" i="13" s="1"/>
  <c r="M149" i="13"/>
  <c r="M148" i="13"/>
  <c r="M147" i="13"/>
  <c r="M146" i="13"/>
  <c r="M145" i="13"/>
  <c r="M144" i="13"/>
  <c r="M143" i="13"/>
  <c r="M142" i="13"/>
  <c r="M141" i="13"/>
  <c r="M140" i="13"/>
  <c r="M139" i="13"/>
  <c r="M138" i="13"/>
  <c r="M137" i="13"/>
  <c r="M136" i="13"/>
  <c r="M110" i="13"/>
  <c r="M109" i="13"/>
  <c r="M108" i="13"/>
  <c r="M104" i="13"/>
  <c r="K166" i="13"/>
  <c r="K165" i="13"/>
  <c r="K164" i="13"/>
  <c r="K163" i="13"/>
  <c r="K162" i="13"/>
  <c r="K161" i="13"/>
  <c r="K160" i="13"/>
  <c r="K159" i="13"/>
  <c r="K158" i="13"/>
  <c r="K157" i="13"/>
  <c r="K154" i="13"/>
  <c r="K153" i="13"/>
  <c r="K135" i="13"/>
  <c r="M135" i="13" s="1"/>
  <c r="K134" i="13"/>
  <c r="G134" i="13" s="1"/>
  <c r="K133" i="13"/>
  <c r="M133" i="13" s="1"/>
  <c r="K132" i="13"/>
  <c r="M132" i="13" s="1"/>
  <c r="K131" i="13"/>
  <c r="M131" i="13" s="1"/>
  <c r="K130" i="13"/>
  <c r="K129" i="13"/>
  <c r="M129" i="13" s="1"/>
  <c r="K128" i="13"/>
  <c r="M128" i="13" s="1"/>
  <c r="K127" i="13"/>
  <c r="M127" i="13" s="1"/>
  <c r="K126" i="13"/>
  <c r="K125" i="13"/>
  <c r="M125" i="13" s="1"/>
  <c r="K121" i="13"/>
  <c r="K119" i="13"/>
  <c r="M119" i="13" s="1"/>
  <c r="K118" i="13"/>
  <c r="M118" i="13" s="1"/>
  <c r="K117" i="13"/>
  <c r="M117" i="13" s="1"/>
  <c r="K116" i="13"/>
  <c r="M116" i="13" s="1"/>
  <c r="K115" i="13"/>
  <c r="M115" i="13" s="1"/>
  <c r="K114" i="13"/>
  <c r="M114" i="13" s="1"/>
  <c r="K107" i="13"/>
  <c r="M107" i="13" s="1"/>
  <c r="K106" i="13"/>
  <c r="M106" i="13" s="1"/>
  <c r="K105" i="13"/>
  <c r="M105" i="13" s="1"/>
  <c r="A248" i="13"/>
  <c r="A247" i="13"/>
  <c r="A246" i="13"/>
  <c r="A245" i="13"/>
  <c r="A244" i="13"/>
  <c r="A243" i="13"/>
  <c r="A242" i="13"/>
  <c r="A241" i="13"/>
  <c r="A240" i="13"/>
  <c r="A239" i="13"/>
  <c r="A238" i="13"/>
  <c r="A237" i="13"/>
  <c r="A221" i="13"/>
  <c r="A224" i="13" s="1"/>
  <c r="J212" i="13"/>
  <c r="I212" i="13"/>
  <c r="H212" i="13"/>
  <c r="G212" i="13"/>
  <c r="J211" i="13"/>
  <c r="I211" i="13"/>
  <c r="H211" i="13"/>
  <c r="G211" i="13"/>
  <c r="J210" i="13"/>
  <c r="I210" i="13"/>
  <c r="H210" i="13"/>
  <c r="G210" i="13"/>
  <c r="J209" i="13"/>
  <c r="I209" i="13"/>
  <c r="H209" i="13"/>
  <c r="G209" i="13"/>
  <c r="H195" i="13"/>
  <c r="H194" i="13"/>
  <c r="H192" i="13"/>
  <c r="H191" i="13"/>
  <c r="H190" i="13"/>
  <c r="H189" i="13"/>
  <c r="H188" i="13"/>
  <c r="H187" i="13"/>
  <c r="H186" i="13"/>
  <c r="H185" i="13"/>
  <c r="H184" i="13"/>
  <c r="H183" i="13"/>
  <c r="H182" i="13"/>
  <c r="H181" i="13"/>
  <c r="H180" i="13"/>
  <c r="H179" i="13"/>
  <c r="H178" i="13"/>
  <c r="H177" i="13"/>
  <c r="A160" i="13"/>
  <c r="E93" i="13"/>
  <c r="D94" i="13" s="1"/>
  <c r="A244" i="9"/>
  <c r="A245" i="9"/>
  <c r="H189" i="9"/>
  <c r="H194" i="9"/>
  <c r="H191" i="9"/>
  <c r="H190" i="9"/>
  <c r="K119" i="9"/>
  <c r="M119" i="9" s="1"/>
  <c r="H188" i="9"/>
  <c r="H187" i="9"/>
  <c r="H186" i="9"/>
  <c r="H185" i="9"/>
  <c r="H184" i="9"/>
  <c r="H183" i="9"/>
  <c r="H182" i="9"/>
  <c r="H181" i="9"/>
  <c r="A221" i="9"/>
  <c r="A224" i="9" s="1"/>
  <c r="H195" i="9"/>
  <c r="H192" i="9"/>
  <c r="H180" i="9"/>
  <c r="H179" i="9"/>
  <c r="H178" i="9"/>
  <c r="H177" i="9"/>
  <c r="J212" i="9"/>
  <c r="I212" i="9"/>
  <c r="H212" i="9"/>
  <c r="G212" i="9"/>
  <c r="J211" i="9"/>
  <c r="I211" i="9"/>
  <c r="H211" i="9"/>
  <c r="G211" i="9"/>
  <c r="J210" i="9"/>
  <c r="I210" i="9"/>
  <c r="H210" i="9"/>
  <c r="G210" i="9"/>
  <c r="J209" i="9"/>
  <c r="I209" i="9"/>
  <c r="H209" i="9"/>
  <c r="G209" i="9"/>
  <c r="A161" i="13" l="1"/>
  <c r="D197" i="13"/>
  <c r="A115" i="18"/>
  <c r="A66" i="18"/>
  <c r="A67" i="18"/>
  <c r="G49" i="17"/>
  <c r="I49" i="17" s="1"/>
  <c r="G50" i="17"/>
  <c r="I50" i="17" s="1"/>
  <c r="D102" i="11"/>
  <c r="D101" i="11"/>
  <c r="G51" i="11"/>
  <c r="I51" i="11"/>
  <c r="D100" i="11" s="1"/>
  <c r="G50" i="13"/>
  <c r="I50" i="13" s="1"/>
  <c r="G49" i="13"/>
  <c r="I49" i="13" s="1"/>
  <c r="G135" i="13"/>
  <c r="L135" i="13" s="1"/>
  <c r="D221" i="13"/>
  <c r="M134" i="13"/>
  <c r="G116" i="13"/>
  <c r="L116" i="13" s="1"/>
  <c r="G129" i="13"/>
  <c r="L129" i="13" s="1"/>
  <c r="G130" i="13"/>
  <c r="L130" i="13" s="1"/>
  <c r="G131" i="13"/>
  <c r="L131" i="13" s="1"/>
  <c r="G121" i="13"/>
  <c r="L121" i="13" s="1"/>
  <c r="L134" i="13"/>
  <c r="G114" i="13"/>
  <c r="L114" i="13" s="1"/>
  <c r="M121" i="13"/>
  <c r="G132" i="13"/>
  <c r="L132" i="13" s="1"/>
  <c r="G118" i="13"/>
  <c r="L118" i="13" s="1"/>
  <c r="G133" i="13"/>
  <c r="L133" i="13" s="1"/>
  <c r="G119" i="13"/>
  <c r="L119" i="13" s="1"/>
  <c r="G115" i="13"/>
  <c r="L115" i="13" s="1"/>
  <c r="G127" i="13"/>
  <c r="L127" i="13" s="1"/>
  <c r="G128" i="13"/>
  <c r="L128" i="13" s="1"/>
  <c r="G125" i="13"/>
  <c r="L125" i="13" s="1"/>
  <c r="G117" i="13"/>
  <c r="L117" i="13" s="1"/>
  <c r="G126" i="13"/>
  <c r="L126" i="13" s="1"/>
  <c r="M126" i="13"/>
  <c r="A105" i="13"/>
  <c r="A106" i="13" s="1"/>
  <c r="M130" i="13"/>
  <c r="A223" i="13"/>
  <c r="A162" i="13"/>
  <c r="G119" i="9"/>
  <c r="L119" i="9" s="1"/>
  <c r="D197" i="9"/>
  <c r="A223" i="9"/>
  <c r="A163" i="13" l="1"/>
  <c r="G51" i="13"/>
  <c r="A68" i="18"/>
  <c r="A116" i="18"/>
  <c r="I51" i="17"/>
  <c r="G60" i="17" s="1"/>
  <c r="I63" i="17" s="1"/>
  <c r="G51" i="17"/>
  <c r="G60" i="11"/>
  <c r="I63" i="11" s="1"/>
  <c r="D93" i="11" s="1"/>
  <c r="F78" i="11"/>
  <c r="D78" i="11" s="1"/>
  <c r="A226" i="13"/>
  <c r="A228" i="13" s="1"/>
  <c r="A230" i="13" s="1"/>
  <c r="A164" i="13"/>
  <c r="A174" i="13" s="1"/>
  <c r="A107" i="13"/>
  <c r="A108" i="13" s="1"/>
  <c r="K165" i="9"/>
  <c r="K164" i="9"/>
  <c r="K163" i="9"/>
  <c r="K162" i="9"/>
  <c r="K161" i="9"/>
  <c r="K160" i="9"/>
  <c r="K159" i="9"/>
  <c r="K158" i="9"/>
  <c r="K157" i="9"/>
  <c r="K154" i="9"/>
  <c r="K153" i="9"/>
  <c r="D166" i="9"/>
  <c r="A160" i="9"/>
  <c r="A177" i="13" l="1"/>
  <c r="A178" i="13" s="1"/>
  <c r="I51" i="13"/>
  <c r="G60" i="13" s="1"/>
  <c r="I63" i="13" s="1"/>
  <c r="G64" i="13" s="1"/>
  <c r="I64" i="13" s="1"/>
  <c r="D79" i="13" s="1"/>
  <c r="A122" i="18"/>
  <c r="A123" i="18" s="1"/>
  <c r="A124" i="18" s="1"/>
  <c r="A125" i="18" s="1"/>
  <c r="A126" i="18" s="1"/>
  <c r="A127" i="18" s="1"/>
  <c r="A128" i="18" s="1"/>
  <c r="A129" i="18" s="1"/>
  <c r="A130" i="18" s="1"/>
  <c r="A131" i="18" s="1"/>
  <c r="A132" i="18" s="1"/>
  <c r="A133" i="18" s="1"/>
  <c r="A134" i="18" s="1"/>
  <c r="A135" i="18" s="1"/>
  <c r="A136" i="18" s="1"/>
  <c r="A137" i="18" s="1"/>
  <c r="A143" i="18" s="1"/>
  <c r="A144" i="18" s="1"/>
  <c r="A145" i="18" s="1"/>
  <c r="A146" i="18" s="1"/>
  <c r="A147" i="18" s="1"/>
  <c r="A148" i="18" s="1"/>
  <c r="A149" i="18" s="1"/>
  <c r="A155" i="18" s="1"/>
  <c r="A156" i="18" s="1"/>
  <c r="A157" i="18" s="1"/>
  <c r="A158" i="18" s="1"/>
  <c r="A159" i="18" s="1"/>
  <c r="A160" i="18" s="1"/>
  <c r="A161" i="18" s="1"/>
  <c r="A162" i="18" s="1"/>
  <c r="A163" i="18" s="1"/>
  <c r="A164"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69" i="18"/>
  <c r="A70" i="18" s="1"/>
  <c r="A71" i="18" s="1"/>
  <c r="A72" i="18" s="1"/>
  <c r="A73" i="18" s="1"/>
  <c r="A74" i="18" s="1"/>
  <c r="A75" i="18" s="1"/>
  <c r="A76" i="18" s="1"/>
  <c r="A77" i="18" s="1"/>
  <c r="A78" i="18" s="1"/>
  <c r="A79" i="18" s="1"/>
  <c r="A80" i="18" s="1"/>
  <c r="A81" i="18" s="1"/>
  <c r="A82" i="18" s="1"/>
  <c r="A83" i="18" s="1"/>
  <c r="A84" i="18" s="1"/>
  <c r="A85" i="18" s="1"/>
  <c r="A86" i="18" s="1"/>
  <c r="F78" i="17"/>
  <c r="D78" i="17" s="1"/>
  <c r="D94" i="17"/>
  <c r="D93" i="17"/>
  <c r="D96" i="17"/>
  <c r="G64" i="17"/>
  <c r="I64" i="17" s="1"/>
  <c r="D77" i="17" s="1"/>
  <c r="D95" i="17"/>
  <c r="D96" i="11"/>
  <c r="D95" i="11"/>
  <c r="G64" i="11"/>
  <c r="I64" i="11" s="1"/>
  <c r="D79" i="11" s="1"/>
  <c r="A109" i="13"/>
  <c r="D221" i="9"/>
  <c r="A161" i="9"/>
  <c r="A162" i="9" s="1"/>
  <c r="A179" i="13" l="1"/>
  <c r="A180" i="13" s="1"/>
  <c r="D77" i="13"/>
  <c r="K120" i="13" s="1"/>
  <c r="M120" i="13" s="1"/>
  <c r="M151" i="13" s="1"/>
  <c r="F78" i="13"/>
  <c r="D78" i="13" s="1"/>
  <c r="D79" i="17"/>
  <c r="D77" i="11"/>
  <c r="A110" i="13"/>
  <c r="A163" i="9"/>
  <c r="G52" i="9"/>
  <c r="I52" i="9" s="1"/>
  <c r="G71" i="9"/>
  <c r="I73" i="9" s="1"/>
  <c r="G48" i="9"/>
  <c r="I48" i="9" s="1"/>
  <c r="G65" i="9"/>
  <c r="I65" i="9" s="1"/>
  <c r="G56" i="9"/>
  <c r="G49" i="9"/>
  <c r="I49" i="9" s="1"/>
  <c r="B35" i="7"/>
  <c r="B34" i="7"/>
  <c r="B33" i="7"/>
  <c r="B32" i="7"/>
  <c r="B31" i="7"/>
  <c r="B30" i="7"/>
  <c r="B29" i="7"/>
  <c r="B28" i="7"/>
  <c r="B27" i="7"/>
  <c r="B26" i="7"/>
  <c r="B19" i="7"/>
  <c r="B17" i="7"/>
  <c r="B8" i="7"/>
  <c r="B18" i="7"/>
  <c r="D24" i="3"/>
  <c r="D30" i="3"/>
  <c r="D29" i="3"/>
  <c r="D28" i="3"/>
  <c r="B46" i="7"/>
  <c r="B44" i="7"/>
  <c r="B43" i="7"/>
  <c r="B42" i="7"/>
  <c r="B41" i="7"/>
  <c r="B40" i="7"/>
  <c r="B39" i="7"/>
  <c r="B38" i="7"/>
  <c r="B37" i="7"/>
  <c r="B36" i="7"/>
  <c r="B25" i="7"/>
  <c r="B24" i="7"/>
  <c r="B23" i="7"/>
  <c r="B22" i="7"/>
  <c r="B21" i="7"/>
  <c r="B20" i="7"/>
  <c r="B16" i="7"/>
  <c r="B15" i="7"/>
  <c r="B14" i="7"/>
  <c r="B13" i="7"/>
  <c r="B12" i="7"/>
  <c r="B11" i="7"/>
  <c r="B10" i="7"/>
  <c r="B9" i="7"/>
  <c r="A46" i="7"/>
  <c r="G120" i="13" l="1"/>
  <c r="L120" i="13" s="1"/>
  <c r="L151" i="13" s="1"/>
  <c r="A181" i="13"/>
  <c r="A182" i="13" s="1"/>
  <c r="D219" i="13"/>
  <c r="A114" i="13"/>
  <c r="A115" i="13" s="1"/>
  <c r="A164" i="9"/>
  <c r="A174" i="9" s="1"/>
  <c r="G50" i="9"/>
  <c r="I50" i="9" s="1"/>
  <c r="I51" i="9" s="1"/>
  <c r="G60" i="9" s="1"/>
  <c r="I63" i="9" s="1"/>
  <c r="G143" i="9"/>
  <c r="L143" i="9" s="1"/>
  <c r="A248" i="9"/>
  <c r="A247" i="9"/>
  <c r="K126" i="9"/>
  <c r="M126" i="9" s="1"/>
  <c r="K127" i="9"/>
  <c r="M127" i="9" s="1"/>
  <c r="K128" i="9"/>
  <c r="M128" i="9" s="1"/>
  <c r="K125" i="9"/>
  <c r="M125" i="9" s="1"/>
  <c r="K114" i="9"/>
  <c r="K117" i="9"/>
  <c r="M117" i="9" s="1"/>
  <c r="K116" i="9"/>
  <c r="G116" i="9" s="1"/>
  <c r="K129" i="9"/>
  <c r="M129" i="9" s="1"/>
  <c r="K135" i="9"/>
  <c r="M135" i="9" s="1"/>
  <c r="K134" i="9"/>
  <c r="G134" i="9" s="1"/>
  <c r="K133" i="9"/>
  <c r="G133" i="9" s="1"/>
  <c r="K132" i="9"/>
  <c r="G132" i="9" s="1"/>
  <c r="K131" i="9"/>
  <c r="G131" i="9" s="1"/>
  <c r="L131" i="9" s="1"/>
  <c r="K130" i="9"/>
  <c r="G130" i="9" s="1"/>
  <c r="M136" i="9"/>
  <c r="G136" i="9"/>
  <c r="L136" i="9" s="1"/>
  <c r="A246" i="9"/>
  <c r="A243" i="9"/>
  <c r="A242" i="9"/>
  <c r="A241" i="9"/>
  <c r="A240" i="9"/>
  <c r="A239" i="9"/>
  <c r="A238" i="9"/>
  <c r="A237" i="9"/>
  <c r="E93" i="9"/>
  <c r="D94" i="9" s="1"/>
  <c r="M148" i="9"/>
  <c r="G148" i="9"/>
  <c r="L148" i="9" s="1"/>
  <c r="K121" i="9"/>
  <c r="G121" i="9" s="1"/>
  <c r="K118" i="9"/>
  <c r="G118" i="9" s="1"/>
  <c r="K115" i="9"/>
  <c r="G115" i="9" s="1"/>
  <c r="D232" i="9"/>
  <c r="M110" i="9"/>
  <c r="M109" i="9"/>
  <c r="M108" i="9"/>
  <c r="M104" i="9"/>
  <c r="M149" i="9"/>
  <c r="M147" i="9"/>
  <c r="M146" i="9"/>
  <c r="M145" i="9"/>
  <c r="M144" i="9"/>
  <c r="M143" i="9"/>
  <c r="M142" i="9"/>
  <c r="M141" i="9"/>
  <c r="M140" i="9"/>
  <c r="M139" i="9"/>
  <c r="M138" i="9"/>
  <c r="M137" i="9"/>
  <c r="G149" i="9"/>
  <c r="L149" i="9" s="1"/>
  <c r="G145" i="9"/>
  <c r="L145" i="9" s="1"/>
  <c r="G142" i="9"/>
  <c r="L142" i="9" s="1"/>
  <c r="G141" i="9"/>
  <c r="L141" i="9" s="1"/>
  <c r="G138" i="9"/>
  <c r="L138" i="9" s="1"/>
  <c r="G147" i="9"/>
  <c r="L147" i="9" s="1"/>
  <c r="G146" i="9"/>
  <c r="L146" i="9" s="1"/>
  <c r="G144" i="9"/>
  <c r="L144" i="9" s="1"/>
  <c r="K107" i="9"/>
  <c r="M107" i="9" s="1"/>
  <c r="K106" i="9"/>
  <c r="M106" i="9" s="1"/>
  <c r="K105" i="9"/>
  <c r="A105" i="9" s="1"/>
  <c r="BG163" i="5"/>
  <c r="BH163" i="5" s="1"/>
  <c r="BC163" i="5"/>
  <c r="BD163" i="5" s="1"/>
  <c r="BA163" i="5"/>
  <c r="BB163" i="5" s="1"/>
  <c r="AU163" i="5"/>
  <c r="AV163" i="5" s="1"/>
  <c r="AQ163" i="5"/>
  <c r="AR163" i="5" s="1"/>
  <c r="AO163" i="5"/>
  <c r="AP163" i="5" s="1"/>
  <c r="AG163" i="5"/>
  <c r="Q163" i="5"/>
  <c r="R163" i="5" s="1"/>
  <c r="N163" i="5"/>
  <c r="L163" i="5"/>
  <c r="J163" i="5"/>
  <c r="AY163" i="5" s="1"/>
  <c r="AZ163" i="5" s="1"/>
  <c r="H163" i="5"/>
  <c r="AW163" i="5" s="1"/>
  <c r="AX163" i="5" s="1"/>
  <c r="BE133" i="5"/>
  <c r="BF133" i="5" s="1"/>
  <c r="BC133" i="5"/>
  <c r="BD133" i="5" s="1"/>
  <c r="BA133" i="5"/>
  <c r="BB133" i="5" s="1"/>
  <c r="AY133" i="5"/>
  <c r="AZ133" i="5" s="1"/>
  <c r="AS133" i="5"/>
  <c r="AT133" i="5" s="1"/>
  <c r="AQ133" i="5"/>
  <c r="AR133" i="5" s="1"/>
  <c r="AO133" i="5"/>
  <c r="AP133" i="5" s="1"/>
  <c r="AM133" i="5"/>
  <c r="AN133" i="5" s="1"/>
  <c r="AG133" i="5"/>
  <c r="R133" i="5"/>
  <c r="Q133" i="5"/>
  <c r="N133" i="5"/>
  <c r="L133" i="5"/>
  <c r="J133" i="5"/>
  <c r="BI133" i="5" s="1"/>
  <c r="BJ133" i="5" s="1"/>
  <c r="H133" i="5"/>
  <c r="AW133" i="5" s="1"/>
  <c r="AX133" i="5" s="1"/>
  <c r="BC134" i="5"/>
  <c r="BD134" i="5" s="1"/>
  <c r="BA134" i="5"/>
  <c r="BB134" i="5" s="1"/>
  <c r="AY134" i="5"/>
  <c r="AZ134" i="5" s="1"/>
  <c r="AQ134" i="5"/>
  <c r="AR134" i="5" s="1"/>
  <c r="AO134" i="5"/>
  <c r="AP134" i="5" s="1"/>
  <c r="AM134" i="5"/>
  <c r="AN134" i="5" s="1"/>
  <c r="AG134" i="5"/>
  <c r="R134" i="5"/>
  <c r="Q134" i="5"/>
  <c r="N134" i="5"/>
  <c r="L134" i="5"/>
  <c r="J134" i="5"/>
  <c r="BI134" i="5" s="1"/>
  <c r="BJ134" i="5" s="1"/>
  <c r="H134" i="5"/>
  <c r="AW134" i="5" s="1"/>
  <c r="AX134" i="5" s="1"/>
  <c r="BE135" i="5"/>
  <c r="BF135" i="5" s="1"/>
  <c r="BC135" i="5"/>
  <c r="BD135" i="5" s="1"/>
  <c r="BA135" i="5"/>
  <c r="BB135" i="5" s="1"/>
  <c r="AY135" i="5"/>
  <c r="AZ135" i="5" s="1"/>
  <c r="AS135" i="5"/>
  <c r="AT135" i="5" s="1"/>
  <c r="AQ135" i="5"/>
  <c r="AR135" i="5" s="1"/>
  <c r="AO135" i="5"/>
  <c r="AP135" i="5" s="1"/>
  <c r="AM135" i="5"/>
  <c r="AN135" i="5" s="1"/>
  <c r="AG135" i="5"/>
  <c r="R135" i="5"/>
  <c r="Q135" i="5"/>
  <c r="N135" i="5"/>
  <c r="L135" i="5"/>
  <c r="J135" i="5"/>
  <c r="BG135" i="5" s="1"/>
  <c r="BH135" i="5" s="1"/>
  <c r="H135" i="5"/>
  <c r="AW135" i="5" s="1"/>
  <c r="AX135" i="5" s="1"/>
  <c r="BI114" i="5"/>
  <c r="BJ114" i="5" s="1"/>
  <c r="BG114" i="5"/>
  <c r="BH114" i="5" s="1"/>
  <c r="BC114" i="5"/>
  <c r="BD114" i="5" s="1"/>
  <c r="BA114" i="5"/>
  <c r="BB114" i="5" s="1"/>
  <c r="AY114" i="5"/>
  <c r="AZ114" i="5" s="1"/>
  <c r="AW114" i="5"/>
  <c r="AX114" i="5" s="1"/>
  <c r="AU114" i="5"/>
  <c r="AV114" i="5" s="1"/>
  <c r="AQ114" i="5"/>
  <c r="AR114" i="5" s="1"/>
  <c r="AO114" i="5"/>
  <c r="AP114" i="5" s="1"/>
  <c r="AM114" i="5"/>
  <c r="AN114" i="5" s="1"/>
  <c r="AG114" i="5"/>
  <c r="R114" i="5"/>
  <c r="Q114" i="5"/>
  <c r="AK114" i="5" s="1"/>
  <c r="AL114" i="5" s="1"/>
  <c r="N114" i="5"/>
  <c r="L114" i="5"/>
  <c r="J114" i="5"/>
  <c r="BE114" i="5" s="1"/>
  <c r="BF114" i="5" s="1"/>
  <c r="H114" i="5"/>
  <c r="AS114" i="5" s="1"/>
  <c r="AT114" i="5" s="1"/>
  <c r="BI112" i="5"/>
  <c r="BJ112" i="5" s="1"/>
  <c r="BG112" i="5"/>
  <c r="BH112" i="5" s="1"/>
  <c r="BC112" i="5"/>
  <c r="BD112" i="5" s="1"/>
  <c r="BA112" i="5"/>
  <c r="BB112" i="5" s="1"/>
  <c r="AY112" i="5"/>
  <c r="AZ112" i="5" s="1"/>
  <c r="AW112" i="5"/>
  <c r="AX112" i="5" s="1"/>
  <c r="AU112" i="5"/>
  <c r="AV112" i="5" s="1"/>
  <c r="AQ112" i="5"/>
  <c r="AR112" i="5" s="1"/>
  <c r="AO112" i="5"/>
  <c r="AP112" i="5" s="1"/>
  <c r="AM112" i="5"/>
  <c r="AN112" i="5" s="1"/>
  <c r="AG112" i="5"/>
  <c r="R112" i="5"/>
  <c r="Q112" i="5"/>
  <c r="AK112" i="5" s="1"/>
  <c r="AL112" i="5" s="1"/>
  <c r="N112" i="5"/>
  <c r="L112" i="5"/>
  <c r="J112" i="5"/>
  <c r="BE112" i="5" s="1"/>
  <c r="BF112" i="5" s="1"/>
  <c r="H112" i="5"/>
  <c r="AS112" i="5" s="1"/>
  <c r="AT112" i="5" s="1"/>
  <c r="D10" i="3"/>
  <c r="N146" i="5"/>
  <c r="R194" i="5"/>
  <c r="R193" i="5"/>
  <c r="R192" i="5"/>
  <c r="R191" i="5"/>
  <c r="R190" i="5"/>
  <c r="R189" i="5"/>
  <c r="R188" i="5"/>
  <c r="R168" i="5"/>
  <c r="R167" i="5"/>
  <c r="R166" i="5"/>
  <c r="R165" i="5"/>
  <c r="R164" i="5"/>
  <c r="R160" i="5"/>
  <c r="R159" i="5"/>
  <c r="R153" i="5"/>
  <c r="R152" i="5"/>
  <c r="R151" i="5"/>
  <c r="R150" i="5"/>
  <c r="R149" i="5"/>
  <c r="R148" i="5"/>
  <c r="R147" i="5"/>
  <c r="R146" i="5"/>
  <c r="R143" i="5"/>
  <c r="R141" i="5"/>
  <c r="R140" i="5"/>
  <c r="R139" i="5"/>
  <c r="R138" i="5"/>
  <c r="R137" i="5"/>
  <c r="R136" i="5"/>
  <c r="R132" i="5"/>
  <c r="R131" i="5"/>
  <c r="R129" i="5"/>
  <c r="R126" i="5"/>
  <c r="R125" i="5"/>
  <c r="R123" i="5"/>
  <c r="R122" i="5"/>
  <c r="R120" i="5"/>
  <c r="R119" i="5"/>
  <c r="R118" i="5"/>
  <c r="R117" i="5"/>
  <c r="R116" i="5"/>
  <c r="R115" i="5"/>
  <c r="R113" i="5"/>
  <c r="R111" i="5"/>
  <c r="R110" i="5"/>
  <c r="R104" i="5"/>
  <c r="M114" i="9" l="1"/>
  <c r="G114" i="9"/>
  <c r="L114" i="9" s="1"/>
  <c r="A116" i="13"/>
  <c r="A117" i="13" s="1"/>
  <c r="A183" i="13"/>
  <c r="A184" i="13" s="1"/>
  <c r="A177" i="9"/>
  <c r="G51" i="9"/>
  <c r="F78" i="9"/>
  <c r="D78" i="9" s="1"/>
  <c r="G64" i="9"/>
  <c r="I64" i="9" s="1"/>
  <c r="D77" i="9" s="1"/>
  <c r="K120" i="9" s="1"/>
  <c r="M116" i="9"/>
  <c r="G117" i="9"/>
  <c r="L117" i="9" s="1"/>
  <c r="L116" i="9"/>
  <c r="G128" i="9"/>
  <c r="L128" i="9" s="1"/>
  <c r="G129" i="9"/>
  <c r="L129" i="9" s="1"/>
  <c r="L130" i="9"/>
  <c r="M134" i="9"/>
  <c r="G126" i="9"/>
  <c r="L126" i="9" s="1"/>
  <c r="G135" i="9"/>
  <c r="L135" i="9" s="1"/>
  <c r="M131" i="9"/>
  <c r="L132" i="9"/>
  <c r="L133" i="9"/>
  <c r="M133" i="9"/>
  <c r="M130" i="9"/>
  <c r="M132" i="9"/>
  <c r="L134" i="9"/>
  <c r="G127" i="9"/>
  <c r="L127" i="9" s="1"/>
  <c r="L115" i="9"/>
  <c r="M105" i="9"/>
  <c r="L118" i="9"/>
  <c r="L121" i="9"/>
  <c r="M118" i="9"/>
  <c r="M121" i="9"/>
  <c r="M115" i="9"/>
  <c r="G140" i="9"/>
  <c r="L140" i="9" s="1"/>
  <c r="G139" i="9"/>
  <c r="L139" i="9" s="1"/>
  <c r="G137" i="9"/>
  <c r="L137" i="9" s="1"/>
  <c r="G125" i="9"/>
  <c r="L125" i="9" s="1"/>
  <c r="A106" i="9"/>
  <c r="AM163" i="5"/>
  <c r="AN163" i="5" s="1"/>
  <c r="AS163" i="5"/>
  <c r="AT163" i="5" s="1"/>
  <c r="BE163" i="5"/>
  <c r="BF163" i="5" s="1"/>
  <c r="BI163" i="5"/>
  <c r="BJ163" i="5" s="1"/>
  <c r="AS134" i="5"/>
  <c r="AT134" i="5" s="1"/>
  <c r="BE134" i="5"/>
  <c r="BF134" i="5" s="1"/>
  <c r="BG134" i="5"/>
  <c r="BH134" i="5" s="1"/>
  <c r="AU133" i="5"/>
  <c r="AV133" i="5" s="1"/>
  <c r="BG133" i="5"/>
  <c r="BH133" i="5" s="1"/>
  <c r="AU135" i="5"/>
  <c r="AV135" i="5" s="1"/>
  <c r="AU134" i="5"/>
  <c r="AV134" i="5" s="1"/>
  <c r="BI135" i="5"/>
  <c r="BJ135" i="5" s="1"/>
  <c r="AI114" i="5"/>
  <c r="AJ114" i="5" s="1"/>
  <c r="AI112" i="5"/>
  <c r="AJ112" i="5" s="1"/>
  <c r="D259" i="5"/>
  <c r="A185" i="13" l="1"/>
  <c r="A186" i="13" s="1"/>
  <c r="A187" i="13" s="1"/>
  <c r="A188" i="13" s="1"/>
  <c r="A189" i="13" s="1"/>
  <c r="A190" i="13" s="1"/>
  <c r="A191" i="13" s="1"/>
  <c r="A192" i="13" s="1"/>
  <c r="A119" i="13"/>
  <c r="A118" i="13"/>
  <c r="A120" i="13" s="1"/>
  <c r="M120" i="9"/>
  <c r="M151" i="9" s="1"/>
  <c r="D219" i="9" s="1"/>
  <c r="G120" i="9"/>
  <c r="L120" i="9" s="1"/>
  <c r="L151" i="9" s="1"/>
  <c r="A178" i="9"/>
  <c r="D79" i="9"/>
  <c r="A107" i="9"/>
  <c r="BC194" i="5"/>
  <c r="BD194" i="5" s="1"/>
  <c r="BC193" i="5"/>
  <c r="BD193" i="5" s="1"/>
  <c r="BC192" i="5"/>
  <c r="BD192" i="5" s="1"/>
  <c r="BC191" i="5"/>
  <c r="BD191" i="5" s="1"/>
  <c r="BC190" i="5"/>
  <c r="BD190" i="5" s="1"/>
  <c r="BC189" i="5"/>
  <c r="BD189" i="5" s="1"/>
  <c r="BC188" i="5"/>
  <c r="BD188" i="5" s="1"/>
  <c r="BC187" i="5"/>
  <c r="BD187" i="5" s="1"/>
  <c r="BC186" i="5"/>
  <c r="BD186" i="5" s="1"/>
  <c r="BC185" i="5"/>
  <c r="BD185" i="5" s="1"/>
  <c r="BC184" i="5"/>
  <c r="BD184" i="5" s="1"/>
  <c r="BC183" i="5"/>
  <c r="BD183" i="5" s="1"/>
  <c r="BC182" i="5"/>
  <c r="BD182" i="5" s="1"/>
  <c r="BC181" i="5"/>
  <c r="BD181" i="5" s="1"/>
  <c r="BC180" i="5"/>
  <c r="BD180" i="5" s="1"/>
  <c r="BC179" i="5"/>
  <c r="BD179" i="5" s="1"/>
  <c r="BC178" i="5"/>
  <c r="BD178" i="5" s="1"/>
  <c r="BC177" i="5"/>
  <c r="BD177" i="5" s="1"/>
  <c r="BC176" i="5"/>
  <c r="BD176" i="5" s="1"/>
  <c r="BC175" i="5"/>
  <c r="BD175" i="5" s="1"/>
  <c r="BC174" i="5"/>
  <c r="BD174" i="5" s="1"/>
  <c r="BC173" i="5"/>
  <c r="BD173" i="5" s="1"/>
  <c r="BC172" i="5"/>
  <c r="BD172" i="5" s="1"/>
  <c r="BC171" i="5"/>
  <c r="BD171" i="5" s="1"/>
  <c r="BC170" i="5"/>
  <c r="BD170" i="5" s="1"/>
  <c r="BC169" i="5"/>
  <c r="BD169" i="5" s="1"/>
  <c r="BC168" i="5"/>
  <c r="BD168" i="5" s="1"/>
  <c r="BC167" i="5"/>
  <c r="BD167" i="5" s="1"/>
  <c r="BC166" i="5"/>
  <c r="BD166" i="5" s="1"/>
  <c r="BC165" i="5"/>
  <c r="BD165" i="5" s="1"/>
  <c r="BC164" i="5"/>
  <c r="BD164" i="5" s="1"/>
  <c r="BC162" i="5"/>
  <c r="BD162" i="5" s="1"/>
  <c r="BC161" i="5"/>
  <c r="BD161" i="5" s="1"/>
  <c r="BC160" i="5"/>
  <c r="BD160" i="5" s="1"/>
  <c r="BC158" i="5"/>
  <c r="BD158" i="5" s="1"/>
  <c r="BC157" i="5"/>
  <c r="BD157" i="5" s="1"/>
  <c r="BC156" i="5"/>
  <c r="BD156" i="5" s="1"/>
  <c r="BC155" i="5"/>
  <c r="BD155" i="5" s="1"/>
  <c r="BC154" i="5"/>
  <c r="BD154" i="5" s="1"/>
  <c r="BC153" i="5"/>
  <c r="BD153" i="5" s="1"/>
  <c r="BC152" i="5"/>
  <c r="BD152" i="5" s="1"/>
  <c r="BC151" i="5"/>
  <c r="BD151" i="5" s="1"/>
  <c r="BC150" i="5"/>
  <c r="BD150" i="5" s="1"/>
  <c r="BC149" i="5"/>
  <c r="BD149" i="5" s="1"/>
  <c r="BC148" i="5"/>
  <c r="BD148" i="5" s="1"/>
  <c r="BC147" i="5"/>
  <c r="BD147" i="5" s="1"/>
  <c r="BC146" i="5"/>
  <c r="BD146" i="5" s="1"/>
  <c r="BC145" i="5"/>
  <c r="BD145" i="5" s="1"/>
  <c r="BC144" i="5"/>
  <c r="BD144" i="5" s="1"/>
  <c r="BC142" i="5"/>
  <c r="BD142" i="5" s="1"/>
  <c r="BC141" i="5"/>
  <c r="BD141" i="5" s="1"/>
  <c r="BC140" i="5"/>
  <c r="BD140" i="5" s="1"/>
  <c r="BC139" i="5"/>
  <c r="BD139" i="5" s="1"/>
  <c r="BC138" i="5"/>
  <c r="BD138" i="5" s="1"/>
  <c r="BC137" i="5"/>
  <c r="BD137" i="5" s="1"/>
  <c r="BC136" i="5"/>
  <c r="BD136" i="5" s="1"/>
  <c r="BC132" i="5"/>
  <c r="BD132" i="5" s="1"/>
  <c r="BC131" i="5"/>
  <c r="BD131" i="5" s="1"/>
  <c r="BC130" i="5"/>
  <c r="BD130" i="5" s="1"/>
  <c r="BC128" i="5"/>
  <c r="BD128" i="5" s="1"/>
  <c r="BC127" i="5"/>
  <c r="BD127" i="5" s="1"/>
  <c r="BC126" i="5"/>
  <c r="BD126" i="5" s="1"/>
  <c r="BC124" i="5"/>
  <c r="BD124" i="5" s="1"/>
  <c r="BC123" i="5"/>
  <c r="BD123" i="5" s="1"/>
  <c r="BC121" i="5"/>
  <c r="BD121" i="5" s="1"/>
  <c r="BC120" i="5"/>
  <c r="BD120" i="5" s="1"/>
  <c r="BC119" i="5"/>
  <c r="BD119" i="5" s="1"/>
  <c r="BC118" i="5"/>
  <c r="BD118" i="5" s="1"/>
  <c r="BC117" i="5"/>
  <c r="BD117" i="5" s="1"/>
  <c r="BC116" i="5"/>
  <c r="BD116" i="5" s="1"/>
  <c r="BC115" i="5"/>
  <c r="BD115" i="5" s="1"/>
  <c r="BC113" i="5"/>
  <c r="BD113" i="5" s="1"/>
  <c r="BC111" i="5"/>
  <c r="BD111" i="5" s="1"/>
  <c r="BC110" i="5"/>
  <c r="BD110" i="5" s="1"/>
  <c r="BC109" i="5"/>
  <c r="BD109" i="5" s="1"/>
  <c r="BC108" i="5"/>
  <c r="BD108" i="5" s="1"/>
  <c r="BC107" i="5"/>
  <c r="BD107" i="5" s="1"/>
  <c r="BC106" i="5"/>
  <c r="BD106" i="5" s="1"/>
  <c r="BC105" i="5"/>
  <c r="BC104" i="5"/>
  <c r="BD104" i="5" s="1"/>
  <c r="AQ194" i="5"/>
  <c r="AR194" i="5" s="1"/>
  <c r="AQ193" i="5"/>
  <c r="AR193" i="5" s="1"/>
  <c r="AQ192" i="5"/>
  <c r="AR192" i="5" s="1"/>
  <c r="AQ191" i="5"/>
  <c r="AR191" i="5" s="1"/>
  <c r="AQ190" i="5"/>
  <c r="AR190" i="5" s="1"/>
  <c r="AQ189" i="5"/>
  <c r="AR189" i="5" s="1"/>
  <c r="AQ188" i="5"/>
  <c r="AR188" i="5" s="1"/>
  <c r="AQ187" i="5"/>
  <c r="AR187" i="5" s="1"/>
  <c r="AQ186" i="5"/>
  <c r="AR186" i="5" s="1"/>
  <c r="AQ185" i="5"/>
  <c r="AR185" i="5" s="1"/>
  <c r="AQ184" i="5"/>
  <c r="AR184" i="5" s="1"/>
  <c r="AQ183" i="5"/>
  <c r="AR183" i="5" s="1"/>
  <c r="AQ182" i="5"/>
  <c r="AR182" i="5" s="1"/>
  <c r="AQ181" i="5"/>
  <c r="AR181" i="5" s="1"/>
  <c r="AQ180" i="5"/>
  <c r="AR180" i="5" s="1"/>
  <c r="AQ179" i="5"/>
  <c r="AR179" i="5" s="1"/>
  <c r="AQ178" i="5"/>
  <c r="AR178" i="5" s="1"/>
  <c r="AQ177" i="5"/>
  <c r="AR177" i="5" s="1"/>
  <c r="AQ176" i="5"/>
  <c r="AR176" i="5" s="1"/>
  <c r="AQ175" i="5"/>
  <c r="AR175" i="5" s="1"/>
  <c r="AQ174" i="5"/>
  <c r="AR174" i="5" s="1"/>
  <c r="AQ173" i="5"/>
  <c r="AR173" i="5" s="1"/>
  <c r="AQ172" i="5"/>
  <c r="AR172" i="5" s="1"/>
  <c r="AQ171" i="5"/>
  <c r="AR171" i="5" s="1"/>
  <c r="AQ170" i="5"/>
  <c r="AR170" i="5" s="1"/>
  <c r="AQ169" i="5"/>
  <c r="AR169" i="5" s="1"/>
  <c r="AQ168" i="5"/>
  <c r="AR168" i="5" s="1"/>
  <c r="AQ167" i="5"/>
  <c r="AR167" i="5" s="1"/>
  <c r="AQ166" i="5"/>
  <c r="AR166" i="5" s="1"/>
  <c r="AQ165" i="5"/>
  <c r="AR165" i="5" s="1"/>
  <c r="AQ164" i="5"/>
  <c r="AR164" i="5" s="1"/>
  <c r="AQ162" i="5"/>
  <c r="AR162" i="5" s="1"/>
  <c r="AQ161" i="5"/>
  <c r="AR161" i="5" s="1"/>
  <c r="AQ160" i="5"/>
  <c r="AR160" i="5" s="1"/>
  <c r="AQ158" i="5"/>
  <c r="AR158" i="5" s="1"/>
  <c r="AQ157" i="5"/>
  <c r="AR157" i="5" s="1"/>
  <c r="AQ156" i="5"/>
  <c r="AR156" i="5" s="1"/>
  <c r="AQ155" i="5"/>
  <c r="AR155" i="5" s="1"/>
  <c r="AQ154" i="5"/>
  <c r="AR154" i="5" s="1"/>
  <c r="AQ153" i="5"/>
  <c r="AR153" i="5" s="1"/>
  <c r="AQ152" i="5"/>
  <c r="AR152" i="5" s="1"/>
  <c r="AQ151" i="5"/>
  <c r="AR151" i="5" s="1"/>
  <c r="AQ150" i="5"/>
  <c r="AR150" i="5" s="1"/>
  <c r="AQ149" i="5"/>
  <c r="AR149" i="5" s="1"/>
  <c r="AQ148" i="5"/>
  <c r="AR148" i="5" s="1"/>
  <c r="AQ147" i="5"/>
  <c r="AR147" i="5" s="1"/>
  <c r="AQ146" i="5"/>
  <c r="AR146" i="5" s="1"/>
  <c r="AQ145" i="5"/>
  <c r="AR145" i="5" s="1"/>
  <c r="AQ144" i="5"/>
  <c r="AR144" i="5" s="1"/>
  <c r="AQ142" i="5"/>
  <c r="AR142" i="5" s="1"/>
  <c r="AQ141" i="5"/>
  <c r="AR141" i="5" s="1"/>
  <c r="AQ140" i="5"/>
  <c r="AR140" i="5" s="1"/>
  <c r="AQ139" i="5"/>
  <c r="AR139" i="5" s="1"/>
  <c r="AQ138" i="5"/>
  <c r="AR138" i="5" s="1"/>
  <c r="AQ137" i="5"/>
  <c r="AR137" i="5" s="1"/>
  <c r="AQ136" i="5"/>
  <c r="AR136" i="5" s="1"/>
  <c r="AQ132" i="5"/>
  <c r="AR132" i="5" s="1"/>
  <c r="AQ131" i="5"/>
  <c r="AR131" i="5" s="1"/>
  <c r="AQ130" i="5"/>
  <c r="AR130" i="5" s="1"/>
  <c r="AQ128" i="5"/>
  <c r="AR128" i="5" s="1"/>
  <c r="AQ127" i="5"/>
  <c r="AR127" i="5" s="1"/>
  <c r="AQ126" i="5"/>
  <c r="AR126" i="5" s="1"/>
  <c r="AQ124" i="5"/>
  <c r="AR124" i="5" s="1"/>
  <c r="AQ123" i="5"/>
  <c r="AR123" i="5" s="1"/>
  <c r="AQ121" i="5"/>
  <c r="AR121" i="5" s="1"/>
  <c r="AQ120" i="5"/>
  <c r="AR120" i="5" s="1"/>
  <c r="AQ119" i="5"/>
  <c r="AR119" i="5" s="1"/>
  <c r="AQ118" i="5"/>
  <c r="AR118" i="5" s="1"/>
  <c r="AQ117" i="5"/>
  <c r="AR117" i="5" s="1"/>
  <c r="AQ116" i="5"/>
  <c r="AR116" i="5" s="1"/>
  <c r="AQ115" i="5"/>
  <c r="AR115" i="5" s="1"/>
  <c r="AQ113" i="5"/>
  <c r="AR113" i="5" s="1"/>
  <c r="AQ111" i="5"/>
  <c r="AR111" i="5" s="1"/>
  <c r="AQ110" i="5"/>
  <c r="AR110" i="5" s="1"/>
  <c r="AQ109" i="5"/>
  <c r="AR109" i="5" s="1"/>
  <c r="AQ108" i="5"/>
  <c r="AR108" i="5" s="1"/>
  <c r="AQ107" i="5"/>
  <c r="AR107" i="5" s="1"/>
  <c r="AQ106" i="5"/>
  <c r="AR106" i="5" s="1"/>
  <c r="AQ105" i="5"/>
  <c r="AR105" i="5" s="1"/>
  <c r="AQ104" i="5"/>
  <c r="BI194" i="5"/>
  <c r="BJ194" i="5" s="1"/>
  <c r="BG194" i="5"/>
  <c r="BH194" i="5" s="1"/>
  <c r="BE194" i="5"/>
  <c r="BF194" i="5" s="1"/>
  <c r="BA194" i="5"/>
  <c r="BB194" i="5" s="1"/>
  <c r="AY194" i="5"/>
  <c r="AZ194" i="5" s="1"/>
  <c r="AW194" i="5"/>
  <c r="AX194" i="5" s="1"/>
  <c r="AU194" i="5"/>
  <c r="AV194" i="5" s="1"/>
  <c r="AS194" i="5"/>
  <c r="AT194" i="5" s="1"/>
  <c r="AO194" i="5"/>
  <c r="AP194" i="5" s="1"/>
  <c r="BI193" i="5"/>
  <c r="BJ193" i="5" s="1"/>
  <c r="BG193" i="5"/>
  <c r="BH193" i="5" s="1"/>
  <c r="BE193" i="5"/>
  <c r="BF193" i="5" s="1"/>
  <c r="BA193" i="5"/>
  <c r="BB193" i="5" s="1"/>
  <c r="AY193" i="5"/>
  <c r="AZ193" i="5" s="1"/>
  <c r="AW193" i="5"/>
  <c r="AX193" i="5" s="1"/>
  <c r="AU193" i="5"/>
  <c r="AV193" i="5" s="1"/>
  <c r="AS193" i="5"/>
  <c r="AT193" i="5" s="1"/>
  <c r="AO193" i="5"/>
  <c r="AP193" i="5" s="1"/>
  <c r="BI192" i="5"/>
  <c r="BJ192" i="5" s="1"/>
  <c r="BG192" i="5"/>
  <c r="BH192" i="5" s="1"/>
  <c r="BE192" i="5"/>
  <c r="BF192" i="5" s="1"/>
  <c r="BA192" i="5"/>
  <c r="BB192" i="5" s="1"/>
  <c r="AY192" i="5"/>
  <c r="AZ192" i="5" s="1"/>
  <c r="AW192" i="5"/>
  <c r="AX192" i="5" s="1"/>
  <c r="AU192" i="5"/>
  <c r="AV192" i="5" s="1"/>
  <c r="AS192" i="5"/>
  <c r="AT192" i="5" s="1"/>
  <c r="AO192" i="5"/>
  <c r="AP192" i="5" s="1"/>
  <c r="BI191" i="5"/>
  <c r="BJ191" i="5" s="1"/>
  <c r="BG191" i="5"/>
  <c r="BH191" i="5" s="1"/>
  <c r="BE191" i="5"/>
  <c r="BF191" i="5" s="1"/>
  <c r="BA191" i="5"/>
  <c r="BB191" i="5" s="1"/>
  <c r="AY191" i="5"/>
  <c r="AZ191" i="5" s="1"/>
  <c r="AW191" i="5"/>
  <c r="AX191" i="5" s="1"/>
  <c r="AU191" i="5"/>
  <c r="AV191" i="5" s="1"/>
  <c r="AS191" i="5"/>
  <c r="AT191" i="5" s="1"/>
  <c r="AO191" i="5"/>
  <c r="AP191" i="5" s="1"/>
  <c r="BI190" i="5"/>
  <c r="BJ190" i="5" s="1"/>
  <c r="BG190" i="5"/>
  <c r="BH190" i="5" s="1"/>
  <c r="BA190" i="5"/>
  <c r="BB190" i="5" s="1"/>
  <c r="AY190" i="5"/>
  <c r="AZ190" i="5" s="1"/>
  <c r="AW190" i="5"/>
  <c r="AX190" i="5" s="1"/>
  <c r="AU190" i="5"/>
  <c r="AV190" i="5" s="1"/>
  <c r="AO190" i="5"/>
  <c r="AP190" i="5" s="1"/>
  <c r="BI189" i="5"/>
  <c r="BJ189" i="5" s="1"/>
  <c r="BG189" i="5"/>
  <c r="BH189" i="5" s="1"/>
  <c r="BA189" i="5"/>
  <c r="BB189" i="5" s="1"/>
  <c r="AY189" i="5"/>
  <c r="AZ189" i="5" s="1"/>
  <c r="AW189" i="5"/>
  <c r="AX189" i="5" s="1"/>
  <c r="AU189" i="5"/>
  <c r="AV189" i="5" s="1"/>
  <c r="AO189" i="5"/>
  <c r="AP189" i="5" s="1"/>
  <c r="BI188" i="5"/>
  <c r="BJ188" i="5" s="1"/>
  <c r="BG188" i="5"/>
  <c r="BH188" i="5" s="1"/>
  <c r="BA188" i="5"/>
  <c r="BB188" i="5" s="1"/>
  <c r="AY188" i="5"/>
  <c r="AZ188" i="5" s="1"/>
  <c r="AW188" i="5"/>
  <c r="AX188" i="5" s="1"/>
  <c r="AU188" i="5"/>
  <c r="AV188" i="5" s="1"/>
  <c r="AO188" i="5"/>
  <c r="AP188" i="5" s="1"/>
  <c r="BI187" i="5"/>
  <c r="BJ187" i="5" s="1"/>
  <c r="BG187" i="5"/>
  <c r="BH187" i="5" s="1"/>
  <c r="BE187" i="5"/>
  <c r="BF187" i="5" s="1"/>
  <c r="BA187" i="5"/>
  <c r="BB187" i="5" s="1"/>
  <c r="AW187" i="5"/>
  <c r="AX187" i="5" s="1"/>
  <c r="AU187" i="5"/>
  <c r="AV187" i="5" s="1"/>
  <c r="AS187" i="5"/>
  <c r="AT187" i="5" s="1"/>
  <c r="AO187" i="5"/>
  <c r="AP187" i="5" s="1"/>
  <c r="BI186" i="5"/>
  <c r="BJ186" i="5" s="1"/>
  <c r="BG186" i="5"/>
  <c r="BH186" i="5" s="1"/>
  <c r="BE186" i="5"/>
  <c r="BF186" i="5" s="1"/>
  <c r="AW186" i="5"/>
  <c r="AX186" i="5" s="1"/>
  <c r="AU186" i="5"/>
  <c r="AV186" i="5" s="1"/>
  <c r="AS186" i="5"/>
  <c r="AT186" i="5" s="1"/>
  <c r="BI185" i="5"/>
  <c r="BJ185" i="5" s="1"/>
  <c r="BG185" i="5"/>
  <c r="BH185" i="5" s="1"/>
  <c r="BE185" i="5"/>
  <c r="BF185" i="5" s="1"/>
  <c r="BA185" i="5"/>
  <c r="BB185" i="5" s="1"/>
  <c r="AW185" i="5"/>
  <c r="AX185" i="5" s="1"/>
  <c r="AU185" i="5"/>
  <c r="AV185" i="5" s="1"/>
  <c r="AS185" i="5"/>
  <c r="AT185" i="5" s="1"/>
  <c r="AO185" i="5"/>
  <c r="AP185" i="5" s="1"/>
  <c r="BI184" i="5"/>
  <c r="BJ184" i="5" s="1"/>
  <c r="BG184" i="5"/>
  <c r="BH184" i="5" s="1"/>
  <c r="BE184" i="5"/>
  <c r="BF184" i="5" s="1"/>
  <c r="BA184" i="5"/>
  <c r="BB184" i="5" s="1"/>
  <c r="AW184" i="5"/>
  <c r="AX184" i="5" s="1"/>
  <c r="AU184" i="5"/>
  <c r="AV184" i="5" s="1"/>
  <c r="AS184" i="5"/>
  <c r="AT184" i="5" s="1"/>
  <c r="AO184" i="5"/>
  <c r="AP184" i="5" s="1"/>
  <c r="BI183" i="5"/>
  <c r="BJ183" i="5" s="1"/>
  <c r="BG183" i="5"/>
  <c r="BH183" i="5" s="1"/>
  <c r="BE183" i="5"/>
  <c r="BF183" i="5" s="1"/>
  <c r="BA183" i="5"/>
  <c r="BB183" i="5" s="1"/>
  <c r="AW183" i="5"/>
  <c r="AX183" i="5" s="1"/>
  <c r="AU183" i="5"/>
  <c r="AV183" i="5" s="1"/>
  <c r="AS183" i="5"/>
  <c r="AT183" i="5" s="1"/>
  <c r="AO183" i="5"/>
  <c r="AP183" i="5" s="1"/>
  <c r="BI182" i="5"/>
  <c r="BJ182" i="5" s="1"/>
  <c r="BG182" i="5"/>
  <c r="BH182" i="5" s="1"/>
  <c r="BE182" i="5"/>
  <c r="BF182" i="5" s="1"/>
  <c r="AW182" i="5"/>
  <c r="AX182" i="5" s="1"/>
  <c r="AU182" i="5"/>
  <c r="AV182" i="5" s="1"/>
  <c r="AS182" i="5"/>
  <c r="AT182" i="5" s="1"/>
  <c r="BI181" i="5"/>
  <c r="BJ181" i="5" s="1"/>
  <c r="BG181" i="5"/>
  <c r="BH181" i="5" s="1"/>
  <c r="BE181" i="5"/>
  <c r="BF181" i="5" s="1"/>
  <c r="BA181" i="5"/>
  <c r="BB181" i="5" s="1"/>
  <c r="AW181" i="5"/>
  <c r="AX181" i="5" s="1"/>
  <c r="AU181" i="5"/>
  <c r="AV181" i="5" s="1"/>
  <c r="AS181" i="5"/>
  <c r="AT181" i="5" s="1"/>
  <c r="AO181" i="5"/>
  <c r="AP181" i="5" s="1"/>
  <c r="BI180" i="5"/>
  <c r="BJ180" i="5" s="1"/>
  <c r="BG180" i="5"/>
  <c r="BH180" i="5" s="1"/>
  <c r="BE180" i="5"/>
  <c r="BF180" i="5" s="1"/>
  <c r="BA180" i="5"/>
  <c r="BB180" i="5" s="1"/>
  <c r="AW180" i="5"/>
  <c r="AX180" i="5" s="1"/>
  <c r="AU180" i="5"/>
  <c r="AV180" i="5" s="1"/>
  <c r="AS180" i="5"/>
  <c r="AT180" i="5" s="1"/>
  <c r="AO180" i="5"/>
  <c r="AP180" i="5" s="1"/>
  <c r="BI179" i="5"/>
  <c r="BJ179" i="5" s="1"/>
  <c r="BG179" i="5"/>
  <c r="BH179" i="5" s="1"/>
  <c r="BE179" i="5"/>
  <c r="BF179" i="5" s="1"/>
  <c r="BA179" i="5"/>
  <c r="BB179" i="5" s="1"/>
  <c r="AW179" i="5"/>
  <c r="AX179" i="5" s="1"/>
  <c r="AU179" i="5"/>
  <c r="AV179" i="5" s="1"/>
  <c r="AS179" i="5"/>
  <c r="AT179" i="5" s="1"/>
  <c r="AO179" i="5"/>
  <c r="AP179" i="5" s="1"/>
  <c r="BI178" i="5"/>
  <c r="BJ178" i="5" s="1"/>
  <c r="BG178" i="5"/>
  <c r="BH178" i="5" s="1"/>
  <c r="BE178" i="5"/>
  <c r="BF178" i="5" s="1"/>
  <c r="BA178" i="5"/>
  <c r="BB178" i="5" s="1"/>
  <c r="AW178" i="5"/>
  <c r="AX178" i="5" s="1"/>
  <c r="AU178" i="5"/>
  <c r="AV178" i="5" s="1"/>
  <c r="AS178" i="5"/>
  <c r="AT178" i="5" s="1"/>
  <c r="AO178" i="5"/>
  <c r="AP178" i="5" s="1"/>
  <c r="BI177" i="5"/>
  <c r="BJ177" i="5" s="1"/>
  <c r="BG177" i="5"/>
  <c r="BH177" i="5" s="1"/>
  <c r="BE177" i="5"/>
  <c r="BF177" i="5" s="1"/>
  <c r="BA177" i="5"/>
  <c r="BB177" i="5" s="1"/>
  <c r="AW177" i="5"/>
  <c r="AX177" i="5" s="1"/>
  <c r="AU177" i="5"/>
  <c r="AV177" i="5" s="1"/>
  <c r="AS177" i="5"/>
  <c r="AT177" i="5" s="1"/>
  <c r="AO177" i="5"/>
  <c r="AP177" i="5" s="1"/>
  <c r="BI176" i="5"/>
  <c r="BJ176" i="5" s="1"/>
  <c r="BG176" i="5"/>
  <c r="BH176" i="5" s="1"/>
  <c r="BE176" i="5"/>
  <c r="BF176" i="5" s="1"/>
  <c r="BA176" i="5"/>
  <c r="BB176" i="5" s="1"/>
  <c r="AW176" i="5"/>
  <c r="AX176" i="5" s="1"/>
  <c r="AU176" i="5"/>
  <c r="AV176" i="5" s="1"/>
  <c r="AS176" i="5"/>
  <c r="AT176" i="5" s="1"/>
  <c r="AO176" i="5"/>
  <c r="AP176" i="5" s="1"/>
  <c r="BI175" i="5"/>
  <c r="BJ175" i="5" s="1"/>
  <c r="BG175" i="5"/>
  <c r="BH175" i="5" s="1"/>
  <c r="BE175" i="5"/>
  <c r="BF175" i="5" s="1"/>
  <c r="BA175" i="5"/>
  <c r="BB175" i="5" s="1"/>
  <c r="AW175" i="5"/>
  <c r="AX175" i="5" s="1"/>
  <c r="AU175" i="5"/>
  <c r="AV175" i="5" s="1"/>
  <c r="AS175" i="5"/>
  <c r="AT175" i="5" s="1"/>
  <c r="AO175" i="5"/>
  <c r="AP175" i="5" s="1"/>
  <c r="BI174" i="5"/>
  <c r="BJ174" i="5" s="1"/>
  <c r="BG174" i="5"/>
  <c r="BH174" i="5" s="1"/>
  <c r="BE174" i="5"/>
  <c r="BF174" i="5" s="1"/>
  <c r="BA174" i="5"/>
  <c r="BB174" i="5" s="1"/>
  <c r="AW174" i="5"/>
  <c r="AX174" i="5" s="1"/>
  <c r="AU174" i="5"/>
  <c r="AV174" i="5" s="1"/>
  <c r="AS174" i="5"/>
  <c r="AT174" i="5" s="1"/>
  <c r="AO174" i="5"/>
  <c r="AP174" i="5" s="1"/>
  <c r="BI173" i="5"/>
  <c r="BJ173" i="5" s="1"/>
  <c r="BG173" i="5"/>
  <c r="BH173" i="5" s="1"/>
  <c r="BE173" i="5"/>
  <c r="BF173" i="5" s="1"/>
  <c r="BA173" i="5"/>
  <c r="BB173" i="5" s="1"/>
  <c r="AW173" i="5"/>
  <c r="AX173" i="5" s="1"/>
  <c r="AU173" i="5"/>
  <c r="AV173" i="5" s="1"/>
  <c r="AS173" i="5"/>
  <c r="AT173" i="5" s="1"/>
  <c r="AO173" i="5"/>
  <c r="AP173" i="5" s="1"/>
  <c r="BI172" i="5"/>
  <c r="BJ172" i="5" s="1"/>
  <c r="BG172" i="5"/>
  <c r="BH172" i="5" s="1"/>
  <c r="BE172" i="5"/>
  <c r="BF172" i="5" s="1"/>
  <c r="BA172" i="5"/>
  <c r="BB172" i="5" s="1"/>
  <c r="AW172" i="5"/>
  <c r="AX172" i="5" s="1"/>
  <c r="AU172" i="5"/>
  <c r="AV172" i="5" s="1"/>
  <c r="AS172" i="5"/>
  <c r="AT172" i="5" s="1"/>
  <c r="AO172" i="5"/>
  <c r="AP172" i="5" s="1"/>
  <c r="BI171" i="5"/>
  <c r="BJ171" i="5" s="1"/>
  <c r="BG171" i="5"/>
  <c r="BH171" i="5" s="1"/>
  <c r="BE171" i="5"/>
  <c r="BF171" i="5" s="1"/>
  <c r="BA171" i="5"/>
  <c r="BB171" i="5" s="1"/>
  <c r="AW171" i="5"/>
  <c r="AX171" i="5" s="1"/>
  <c r="AU171" i="5"/>
  <c r="AV171" i="5" s="1"/>
  <c r="AS171" i="5"/>
  <c r="AT171" i="5" s="1"/>
  <c r="AO171" i="5"/>
  <c r="AP171" i="5" s="1"/>
  <c r="BI170" i="5"/>
  <c r="BJ170" i="5" s="1"/>
  <c r="BG170" i="5"/>
  <c r="BH170" i="5" s="1"/>
  <c r="BE170" i="5"/>
  <c r="BF170" i="5" s="1"/>
  <c r="AW170" i="5"/>
  <c r="AX170" i="5" s="1"/>
  <c r="AU170" i="5"/>
  <c r="AV170" i="5" s="1"/>
  <c r="AS170" i="5"/>
  <c r="AT170" i="5" s="1"/>
  <c r="BI169" i="5"/>
  <c r="BJ169" i="5" s="1"/>
  <c r="BG169" i="5"/>
  <c r="BH169" i="5" s="1"/>
  <c r="BE169" i="5"/>
  <c r="BF169" i="5" s="1"/>
  <c r="BA169" i="5"/>
  <c r="BB169" i="5" s="1"/>
  <c r="AY169" i="5"/>
  <c r="AZ169" i="5" s="1"/>
  <c r="AW169" i="5"/>
  <c r="AX169" i="5" s="1"/>
  <c r="AU169" i="5"/>
  <c r="AV169" i="5" s="1"/>
  <c r="AS169" i="5"/>
  <c r="AT169" i="5" s="1"/>
  <c r="AO169" i="5"/>
  <c r="AP169" i="5" s="1"/>
  <c r="BI168" i="5"/>
  <c r="BJ168" i="5" s="1"/>
  <c r="BG168" i="5"/>
  <c r="BH168" i="5" s="1"/>
  <c r="BE168" i="5"/>
  <c r="BF168" i="5" s="1"/>
  <c r="BA168" i="5"/>
  <c r="BB168" i="5" s="1"/>
  <c r="AY168" i="5"/>
  <c r="AZ168" i="5" s="1"/>
  <c r="AW168" i="5"/>
  <c r="AX168" i="5" s="1"/>
  <c r="AU168" i="5"/>
  <c r="AV168" i="5" s="1"/>
  <c r="AS168" i="5"/>
  <c r="AT168" i="5" s="1"/>
  <c r="AO168" i="5"/>
  <c r="AP168" i="5" s="1"/>
  <c r="BI167" i="5"/>
  <c r="BJ167" i="5" s="1"/>
  <c r="BG167" i="5"/>
  <c r="BH167" i="5" s="1"/>
  <c r="BE167" i="5"/>
  <c r="BF167" i="5" s="1"/>
  <c r="BA167" i="5"/>
  <c r="BB167" i="5" s="1"/>
  <c r="AY167" i="5"/>
  <c r="AZ167" i="5" s="1"/>
  <c r="AW167" i="5"/>
  <c r="AX167" i="5" s="1"/>
  <c r="AU167" i="5"/>
  <c r="AV167" i="5" s="1"/>
  <c r="AS167" i="5"/>
  <c r="AT167" i="5" s="1"/>
  <c r="AO167" i="5"/>
  <c r="AP167" i="5" s="1"/>
  <c r="BI166" i="5"/>
  <c r="BJ166" i="5" s="1"/>
  <c r="BG166" i="5"/>
  <c r="BH166" i="5" s="1"/>
  <c r="BE166" i="5"/>
  <c r="BF166" i="5" s="1"/>
  <c r="BA166" i="5"/>
  <c r="BB166" i="5" s="1"/>
  <c r="AY166" i="5"/>
  <c r="AZ166" i="5" s="1"/>
  <c r="AW166" i="5"/>
  <c r="AX166" i="5" s="1"/>
  <c r="AU166" i="5"/>
  <c r="AV166" i="5" s="1"/>
  <c r="AS166" i="5"/>
  <c r="AT166" i="5" s="1"/>
  <c r="AO166" i="5"/>
  <c r="AP166" i="5" s="1"/>
  <c r="BI165" i="5"/>
  <c r="BJ165" i="5" s="1"/>
  <c r="BG165" i="5"/>
  <c r="BH165" i="5" s="1"/>
  <c r="BE165" i="5"/>
  <c r="BF165" i="5" s="1"/>
  <c r="BA165" i="5"/>
  <c r="BB165" i="5" s="1"/>
  <c r="AY165" i="5"/>
  <c r="AZ165" i="5" s="1"/>
  <c r="AW165" i="5"/>
  <c r="AX165" i="5" s="1"/>
  <c r="AU165" i="5"/>
  <c r="AV165" i="5" s="1"/>
  <c r="AS165" i="5"/>
  <c r="AT165" i="5" s="1"/>
  <c r="AO165" i="5"/>
  <c r="AP165" i="5" s="1"/>
  <c r="BI164" i="5"/>
  <c r="BJ164" i="5" s="1"/>
  <c r="BG164" i="5"/>
  <c r="BH164" i="5" s="1"/>
  <c r="BA164" i="5"/>
  <c r="BB164" i="5" s="1"/>
  <c r="AY164" i="5"/>
  <c r="AZ164" i="5" s="1"/>
  <c r="AW164" i="5"/>
  <c r="AX164" i="5" s="1"/>
  <c r="AU164" i="5"/>
  <c r="AV164" i="5" s="1"/>
  <c r="AO164" i="5"/>
  <c r="AP164" i="5" s="1"/>
  <c r="BI162" i="5"/>
  <c r="BJ162" i="5" s="1"/>
  <c r="BG162" i="5"/>
  <c r="BH162" i="5" s="1"/>
  <c r="BE162" i="5"/>
  <c r="BF162" i="5" s="1"/>
  <c r="BA162" i="5"/>
  <c r="BB162" i="5" s="1"/>
  <c r="AW162" i="5"/>
  <c r="AX162" i="5" s="1"/>
  <c r="AU162" i="5"/>
  <c r="AV162" i="5" s="1"/>
  <c r="AS162" i="5"/>
  <c r="AT162" i="5" s="1"/>
  <c r="AO162" i="5"/>
  <c r="AP162" i="5" s="1"/>
  <c r="BI161" i="5"/>
  <c r="BJ161" i="5" s="1"/>
  <c r="BG161" i="5"/>
  <c r="BH161" i="5" s="1"/>
  <c r="BE161" i="5"/>
  <c r="BF161" i="5" s="1"/>
  <c r="BA161" i="5"/>
  <c r="BB161" i="5" s="1"/>
  <c r="AW161" i="5"/>
  <c r="AX161" i="5" s="1"/>
  <c r="AU161" i="5"/>
  <c r="AV161" i="5" s="1"/>
  <c r="AS161" i="5"/>
  <c r="AT161" i="5" s="1"/>
  <c r="AO161" i="5"/>
  <c r="AP161" i="5" s="1"/>
  <c r="BI160" i="5"/>
  <c r="BJ160" i="5" s="1"/>
  <c r="BG160" i="5"/>
  <c r="BH160" i="5" s="1"/>
  <c r="BE160" i="5"/>
  <c r="BF160" i="5" s="1"/>
  <c r="AY160" i="5"/>
  <c r="AZ160" i="5" s="1"/>
  <c r="AW160" i="5"/>
  <c r="AX160" i="5" s="1"/>
  <c r="AU160" i="5"/>
  <c r="AV160" i="5" s="1"/>
  <c r="AS160" i="5"/>
  <c r="AT160" i="5" s="1"/>
  <c r="BI159" i="5"/>
  <c r="BJ159" i="5" s="1"/>
  <c r="BG159" i="5"/>
  <c r="BH159" i="5" s="1"/>
  <c r="BE159" i="5"/>
  <c r="BF159" i="5" s="1"/>
  <c r="BA159" i="5"/>
  <c r="BB159" i="5" s="1"/>
  <c r="AY159" i="5"/>
  <c r="AZ159" i="5" s="1"/>
  <c r="AW159" i="5"/>
  <c r="AX159" i="5" s="1"/>
  <c r="AU159" i="5"/>
  <c r="AV159" i="5" s="1"/>
  <c r="AS159" i="5"/>
  <c r="AT159" i="5" s="1"/>
  <c r="AO159" i="5"/>
  <c r="AP159" i="5" s="1"/>
  <c r="BI158" i="5"/>
  <c r="BJ158" i="5" s="1"/>
  <c r="BG158" i="5"/>
  <c r="BH158" i="5" s="1"/>
  <c r="BA158" i="5"/>
  <c r="BB158" i="5" s="1"/>
  <c r="AW158" i="5"/>
  <c r="AX158" i="5" s="1"/>
  <c r="AU158" i="5"/>
  <c r="AV158" i="5" s="1"/>
  <c r="AO158" i="5"/>
  <c r="AP158" i="5" s="1"/>
  <c r="BI157" i="5"/>
  <c r="BJ157" i="5" s="1"/>
  <c r="BE157" i="5"/>
  <c r="BF157" i="5" s="1"/>
  <c r="BA157" i="5"/>
  <c r="BB157" i="5" s="1"/>
  <c r="AW157" i="5"/>
  <c r="AX157" i="5" s="1"/>
  <c r="AS157" i="5"/>
  <c r="AT157" i="5" s="1"/>
  <c r="AO157" i="5"/>
  <c r="AP157" i="5" s="1"/>
  <c r="BI156" i="5"/>
  <c r="BJ156" i="5" s="1"/>
  <c r="BE156" i="5"/>
  <c r="BF156" i="5" s="1"/>
  <c r="BA156" i="5"/>
  <c r="BB156" i="5" s="1"/>
  <c r="AW156" i="5"/>
  <c r="AX156" i="5" s="1"/>
  <c r="AS156" i="5"/>
  <c r="AT156" i="5" s="1"/>
  <c r="AO156" i="5"/>
  <c r="AP156" i="5" s="1"/>
  <c r="BI155" i="5"/>
  <c r="BJ155" i="5" s="1"/>
  <c r="BE155" i="5"/>
  <c r="BF155" i="5" s="1"/>
  <c r="BA155" i="5"/>
  <c r="BB155" i="5" s="1"/>
  <c r="AW155" i="5"/>
  <c r="AX155" i="5" s="1"/>
  <c r="AS155" i="5"/>
  <c r="AT155" i="5" s="1"/>
  <c r="AO155" i="5"/>
  <c r="AP155" i="5" s="1"/>
  <c r="BI154" i="5"/>
  <c r="BJ154" i="5" s="1"/>
  <c r="BG154" i="5"/>
  <c r="BH154" i="5" s="1"/>
  <c r="BE154" i="5"/>
  <c r="BF154" i="5" s="1"/>
  <c r="BA154" i="5"/>
  <c r="BB154" i="5" s="1"/>
  <c r="AY154" i="5"/>
  <c r="AZ154" i="5" s="1"/>
  <c r="AW154" i="5"/>
  <c r="AX154" i="5" s="1"/>
  <c r="AU154" i="5"/>
  <c r="AV154" i="5" s="1"/>
  <c r="AS154" i="5"/>
  <c r="AT154" i="5" s="1"/>
  <c r="AO154" i="5"/>
  <c r="AP154" i="5" s="1"/>
  <c r="BI153" i="5"/>
  <c r="BJ153" i="5" s="1"/>
  <c r="BG153" i="5"/>
  <c r="BH153" i="5" s="1"/>
  <c r="BE153" i="5"/>
  <c r="BF153" i="5" s="1"/>
  <c r="BA153" i="5"/>
  <c r="BB153" i="5" s="1"/>
  <c r="AY153" i="5"/>
  <c r="AZ153" i="5" s="1"/>
  <c r="AW153" i="5"/>
  <c r="AX153" i="5" s="1"/>
  <c r="AU153" i="5"/>
  <c r="AV153" i="5" s="1"/>
  <c r="AS153" i="5"/>
  <c r="AT153" i="5" s="1"/>
  <c r="AO153" i="5"/>
  <c r="AP153" i="5" s="1"/>
  <c r="BI152" i="5"/>
  <c r="BJ152" i="5" s="1"/>
  <c r="BG152" i="5"/>
  <c r="BH152" i="5" s="1"/>
  <c r="BE152" i="5"/>
  <c r="BF152" i="5" s="1"/>
  <c r="BA152" i="5"/>
  <c r="BB152" i="5" s="1"/>
  <c r="AY152" i="5"/>
  <c r="AZ152" i="5" s="1"/>
  <c r="AW152" i="5"/>
  <c r="AX152" i="5" s="1"/>
  <c r="AU152" i="5"/>
  <c r="AV152" i="5" s="1"/>
  <c r="AS152" i="5"/>
  <c r="AT152" i="5" s="1"/>
  <c r="AO152" i="5"/>
  <c r="AP152" i="5" s="1"/>
  <c r="BI151" i="5"/>
  <c r="BJ151" i="5" s="1"/>
  <c r="BG151" i="5"/>
  <c r="BH151" i="5" s="1"/>
  <c r="BE151" i="5"/>
  <c r="BF151" i="5" s="1"/>
  <c r="BA151" i="5"/>
  <c r="BB151" i="5" s="1"/>
  <c r="AY151" i="5"/>
  <c r="AZ151" i="5" s="1"/>
  <c r="AW151" i="5"/>
  <c r="AX151" i="5" s="1"/>
  <c r="AU151" i="5"/>
  <c r="AV151" i="5" s="1"/>
  <c r="AS151" i="5"/>
  <c r="AT151" i="5" s="1"/>
  <c r="AO151" i="5"/>
  <c r="AP151" i="5" s="1"/>
  <c r="BI150" i="5"/>
  <c r="BJ150" i="5" s="1"/>
  <c r="BG150" i="5"/>
  <c r="BH150" i="5" s="1"/>
  <c r="BE150" i="5"/>
  <c r="BF150" i="5" s="1"/>
  <c r="BA150" i="5"/>
  <c r="BB150" i="5" s="1"/>
  <c r="AY150" i="5"/>
  <c r="AZ150" i="5" s="1"/>
  <c r="AW150" i="5"/>
  <c r="AX150" i="5" s="1"/>
  <c r="AU150" i="5"/>
  <c r="AV150" i="5" s="1"/>
  <c r="AS150" i="5"/>
  <c r="AT150" i="5" s="1"/>
  <c r="AO150" i="5"/>
  <c r="AP150" i="5" s="1"/>
  <c r="BG149" i="5"/>
  <c r="BH149" i="5" s="1"/>
  <c r="BE149" i="5"/>
  <c r="BF149" i="5" s="1"/>
  <c r="BA149" i="5"/>
  <c r="BB149" i="5" s="1"/>
  <c r="AY149" i="5"/>
  <c r="AZ149" i="5" s="1"/>
  <c r="AU149" i="5"/>
  <c r="AV149" i="5" s="1"/>
  <c r="AS149" i="5"/>
  <c r="AT149" i="5" s="1"/>
  <c r="AO149" i="5"/>
  <c r="AP149" i="5" s="1"/>
  <c r="BI148" i="5"/>
  <c r="BJ148" i="5" s="1"/>
  <c r="BG148" i="5"/>
  <c r="BH148" i="5" s="1"/>
  <c r="BA148" i="5"/>
  <c r="BB148" i="5" s="1"/>
  <c r="AY148" i="5"/>
  <c r="AZ148" i="5" s="1"/>
  <c r="AW148" i="5"/>
  <c r="AX148" i="5" s="1"/>
  <c r="AU148" i="5"/>
  <c r="AV148" i="5" s="1"/>
  <c r="AO148" i="5"/>
  <c r="AP148" i="5" s="1"/>
  <c r="BI147" i="5"/>
  <c r="BJ147" i="5" s="1"/>
  <c r="BG147" i="5"/>
  <c r="BH147" i="5" s="1"/>
  <c r="BE147" i="5"/>
  <c r="BF147" i="5" s="1"/>
  <c r="AY147" i="5"/>
  <c r="AZ147" i="5" s="1"/>
  <c r="AW147" i="5"/>
  <c r="AX147" i="5" s="1"/>
  <c r="AU147" i="5"/>
  <c r="AV147" i="5" s="1"/>
  <c r="AS147" i="5"/>
  <c r="AT147" i="5" s="1"/>
  <c r="BI146" i="5"/>
  <c r="BJ146" i="5" s="1"/>
  <c r="BG146" i="5"/>
  <c r="BH146" i="5" s="1"/>
  <c r="BE146" i="5"/>
  <c r="BF146" i="5" s="1"/>
  <c r="AY146" i="5"/>
  <c r="AZ146" i="5" s="1"/>
  <c r="AW146" i="5"/>
  <c r="AX146" i="5" s="1"/>
  <c r="AU146" i="5"/>
  <c r="AV146" i="5" s="1"/>
  <c r="AS146" i="5"/>
  <c r="AT146" i="5" s="1"/>
  <c r="BI145" i="5"/>
  <c r="BJ145" i="5" s="1"/>
  <c r="BG145" i="5"/>
  <c r="BH145" i="5" s="1"/>
  <c r="BE145" i="5"/>
  <c r="BF145" i="5" s="1"/>
  <c r="BA145" i="5"/>
  <c r="BB145" i="5" s="1"/>
  <c r="AW145" i="5"/>
  <c r="AX145" i="5" s="1"/>
  <c r="AU145" i="5"/>
  <c r="AV145" i="5" s="1"/>
  <c r="AS145" i="5"/>
  <c r="AT145" i="5" s="1"/>
  <c r="AO145" i="5"/>
  <c r="AP145" i="5" s="1"/>
  <c r="BI144" i="5"/>
  <c r="BJ144" i="5" s="1"/>
  <c r="BG144" i="5"/>
  <c r="BH144" i="5" s="1"/>
  <c r="BE144" i="5"/>
  <c r="BF144" i="5" s="1"/>
  <c r="BA144" i="5"/>
  <c r="BB144" i="5" s="1"/>
  <c r="AW144" i="5"/>
  <c r="AX144" i="5" s="1"/>
  <c r="AU144" i="5"/>
  <c r="AV144" i="5" s="1"/>
  <c r="AS144" i="5"/>
  <c r="AT144" i="5" s="1"/>
  <c r="AO144" i="5"/>
  <c r="AP144" i="5" s="1"/>
  <c r="BI143" i="5"/>
  <c r="BJ143" i="5" s="1"/>
  <c r="BG143" i="5"/>
  <c r="BH143" i="5" s="1"/>
  <c r="BE143" i="5"/>
  <c r="BF143" i="5" s="1"/>
  <c r="BA143" i="5"/>
  <c r="BB143" i="5" s="1"/>
  <c r="AY143" i="5"/>
  <c r="AZ143" i="5" s="1"/>
  <c r="AW143" i="5"/>
  <c r="AX143" i="5" s="1"/>
  <c r="AU143" i="5"/>
  <c r="AV143" i="5" s="1"/>
  <c r="AS143" i="5"/>
  <c r="AT143" i="5" s="1"/>
  <c r="AO143" i="5"/>
  <c r="AP143" i="5" s="1"/>
  <c r="BI142" i="5"/>
  <c r="BJ142" i="5" s="1"/>
  <c r="BG142" i="5"/>
  <c r="BH142" i="5" s="1"/>
  <c r="BE142" i="5"/>
  <c r="BF142" i="5" s="1"/>
  <c r="BA142" i="5"/>
  <c r="BB142" i="5" s="1"/>
  <c r="AY142" i="5"/>
  <c r="AZ142" i="5" s="1"/>
  <c r="AW142" i="5"/>
  <c r="AX142" i="5" s="1"/>
  <c r="AU142" i="5"/>
  <c r="AV142" i="5" s="1"/>
  <c r="AS142" i="5"/>
  <c r="AT142" i="5" s="1"/>
  <c r="AO142" i="5"/>
  <c r="AP142" i="5" s="1"/>
  <c r="BI141" i="5"/>
  <c r="BJ141" i="5" s="1"/>
  <c r="BG141" i="5"/>
  <c r="BH141" i="5" s="1"/>
  <c r="BE141" i="5"/>
  <c r="BF141" i="5" s="1"/>
  <c r="BA141" i="5"/>
  <c r="BB141" i="5" s="1"/>
  <c r="AY141" i="5"/>
  <c r="AZ141" i="5" s="1"/>
  <c r="AW141" i="5"/>
  <c r="AX141" i="5" s="1"/>
  <c r="AU141" i="5"/>
  <c r="AV141" i="5" s="1"/>
  <c r="AS141" i="5"/>
  <c r="AT141" i="5" s="1"/>
  <c r="AO141" i="5"/>
  <c r="AP141" i="5" s="1"/>
  <c r="BI140" i="5"/>
  <c r="BJ140" i="5" s="1"/>
  <c r="BG140" i="5"/>
  <c r="BH140" i="5" s="1"/>
  <c r="BE140" i="5"/>
  <c r="BF140" i="5" s="1"/>
  <c r="BA140" i="5"/>
  <c r="BB140" i="5" s="1"/>
  <c r="AY140" i="5"/>
  <c r="AZ140" i="5" s="1"/>
  <c r="AW140" i="5"/>
  <c r="AX140" i="5" s="1"/>
  <c r="AU140" i="5"/>
  <c r="AV140" i="5" s="1"/>
  <c r="AS140" i="5"/>
  <c r="AT140" i="5" s="1"/>
  <c r="AO140" i="5"/>
  <c r="AP140" i="5" s="1"/>
  <c r="BI139" i="5"/>
  <c r="BJ139" i="5" s="1"/>
  <c r="BG139" i="5"/>
  <c r="BH139" i="5" s="1"/>
  <c r="BE139" i="5"/>
  <c r="BF139" i="5" s="1"/>
  <c r="BA139" i="5"/>
  <c r="BB139" i="5" s="1"/>
  <c r="AY139" i="5"/>
  <c r="AZ139" i="5" s="1"/>
  <c r="AW139" i="5"/>
  <c r="AX139" i="5" s="1"/>
  <c r="AU139" i="5"/>
  <c r="AV139" i="5" s="1"/>
  <c r="AS139" i="5"/>
  <c r="AT139" i="5" s="1"/>
  <c r="AO139" i="5"/>
  <c r="AP139" i="5" s="1"/>
  <c r="BI138" i="5"/>
  <c r="BJ138" i="5" s="1"/>
  <c r="BG138" i="5"/>
  <c r="BH138" i="5" s="1"/>
  <c r="BE138" i="5"/>
  <c r="BF138" i="5" s="1"/>
  <c r="BA138" i="5"/>
  <c r="BB138" i="5" s="1"/>
  <c r="AY138" i="5"/>
  <c r="AZ138" i="5" s="1"/>
  <c r="AW138" i="5"/>
  <c r="AX138" i="5" s="1"/>
  <c r="AU138" i="5"/>
  <c r="AV138" i="5" s="1"/>
  <c r="AS138" i="5"/>
  <c r="AT138" i="5" s="1"/>
  <c r="AO138" i="5"/>
  <c r="AP138" i="5" s="1"/>
  <c r="BI137" i="5"/>
  <c r="BJ137" i="5" s="1"/>
  <c r="BE137" i="5"/>
  <c r="BF137" i="5" s="1"/>
  <c r="BA137" i="5"/>
  <c r="BB137" i="5" s="1"/>
  <c r="AY137" i="5"/>
  <c r="AZ137" i="5" s="1"/>
  <c r="AW137" i="5"/>
  <c r="AX137" i="5" s="1"/>
  <c r="AS137" i="5"/>
  <c r="AT137" i="5" s="1"/>
  <c r="AO137" i="5"/>
  <c r="AP137" i="5" s="1"/>
  <c r="BI136" i="5"/>
  <c r="BJ136" i="5" s="1"/>
  <c r="BE136" i="5"/>
  <c r="BF136" i="5" s="1"/>
  <c r="BA136" i="5"/>
  <c r="BB136" i="5" s="1"/>
  <c r="AY136" i="5"/>
  <c r="AZ136" i="5" s="1"/>
  <c r="AW136" i="5"/>
  <c r="AX136" i="5" s="1"/>
  <c r="AS136" i="5"/>
  <c r="AT136" i="5" s="1"/>
  <c r="AO136" i="5"/>
  <c r="AP136" i="5" s="1"/>
  <c r="BI132" i="5"/>
  <c r="BJ132" i="5" s="1"/>
  <c r="BE132" i="5"/>
  <c r="BF132" i="5" s="1"/>
  <c r="BA132" i="5"/>
  <c r="BB132" i="5" s="1"/>
  <c r="AY132" i="5"/>
  <c r="AZ132" i="5" s="1"/>
  <c r="AW132" i="5"/>
  <c r="AX132" i="5" s="1"/>
  <c r="AS132" i="5"/>
  <c r="AT132" i="5" s="1"/>
  <c r="AO132" i="5"/>
  <c r="AP132" i="5" s="1"/>
  <c r="BI131" i="5"/>
  <c r="BJ131" i="5" s="1"/>
  <c r="BG131" i="5"/>
  <c r="BH131" i="5" s="1"/>
  <c r="BA131" i="5"/>
  <c r="BB131" i="5" s="1"/>
  <c r="AY131" i="5"/>
  <c r="AZ131" i="5" s="1"/>
  <c r="AW131" i="5"/>
  <c r="AX131" i="5" s="1"/>
  <c r="AU131" i="5"/>
  <c r="AV131" i="5" s="1"/>
  <c r="AO131" i="5"/>
  <c r="AP131" i="5" s="1"/>
  <c r="BI130" i="5"/>
  <c r="BJ130" i="5" s="1"/>
  <c r="BG130" i="5"/>
  <c r="BH130" i="5" s="1"/>
  <c r="BA130" i="5"/>
  <c r="BB130" i="5" s="1"/>
  <c r="AW130" i="5"/>
  <c r="AX130" i="5" s="1"/>
  <c r="AU130" i="5"/>
  <c r="AV130" i="5" s="1"/>
  <c r="AO130" i="5"/>
  <c r="AP130" i="5" s="1"/>
  <c r="BI129" i="5"/>
  <c r="BJ129" i="5" s="1"/>
  <c r="BG129" i="5"/>
  <c r="BH129" i="5" s="1"/>
  <c r="BE129" i="5"/>
  <c r="BF129" i="5" s="1"/>
  <c r="AY129" i="5"/>
  <c r="AZ129" i="5" s="1"/>
  <c r="AW129" i="5"/>
  <c r="AX129" i="5" s="1"/>
  <c r="AU129" i="5"/>
  <c r="AV129" i="5" s="1"/>
  <c r="AS129" i="5"/>
  <c r="AT129" i="5" s="1"/>
  <c r="BI128" i="5"/>
  <c r="BJ128" i="5" s="1"/>
  <c r="BG128" i="5"/>
  <c r="BH128" i="5" s="1"/>
  <c r="BE128" i="5"/>
  <c r="BF128" i="5" s="1"/>
  <c r="BA128" i="5"/>
  <c r="BB128" i="5" s="1"/>
  <c r="AW128" i="5"/>
  <c r="AX128" i="5" s="1"/>
  <c r="AU128" i="5"/>
  <c r="AV128" i="5" s="1"/>
  <c r="AS128" i="5"/>
  <c r="AT128" i="5" s="1"/>
  <c r="AO128" i="5"/>
  <c r="AP128" i="5" s="1"/>
  <c r="BI127" i="5"/>
  <c r="BJ127" i="5" s="1"/>
  <c r="BG127" i="5"/>
  <c r="BH127" i="5" s="1"/>
  <c r="BE127" i="5"/>
  <c r="BF127" i="5" s="1"/>
  <c r="BA127" i="5"/>
  <c r="BB127" i="5" s="1"/>
  <c r="AW127" i="5"/>
  <c r="AX127" i="5" s="1"/>
  <c r="AU127" i="5"/>
  <c r="AV127" i="5" s="1"/>
  <c r="AS127" i="5"/>
  <c r="AT127" i="5" s="1"/>
  <c r="AO127" i="5"/>
  <c r="AP127" i="5" s="1"/>
  <c r="BI126" i="5"/>
  <c r="BJ126" i="5" s="1"/>
  <c r="BG126" i="5"/>
  <c r="BH126" i="5" s="1"/>
  <c r="BE126" i="5"/>
  <c r="BF126" i="5" s="1"/>
  <c r="AY126" i="5"/>
  <c r="AZ126" i="5" s="1"/>
  <c r="AW126" i="5"/>
  <c r="AX126" i="5" s="1"/>
  <c r="AU126" i="5"/>
  <c r="AV126" i="5" s="1"/>
  <c r="AS126" i="5"/>
  <c r="AT126" i="5" s="1"/>
  <c r="BI125" i="5"/>
  <c r="BJ125" i="5" s="1"/>
  <c r="BG125" i="5"/>
  <c r="BH125" i="5" s="1"/>
  <c r="BE125" i="5"/>
  <c r="BF125" i="5" s="1"/>
  <c r="BA125" i="5"/>
  <c r="BB125" i="5" s="1"/>
  <c r="AY125" i="5"/>
  <c r="AZ125" i="5" s="1"/>
  <c r="AW125" i="5"/>
  <c r="AX125" i="5" s="1"/>
  <c r="AU125" i="5"/>
  <c r="AV125" i="5" s="1"/>
  <c r="AS125" i="5"/>
  <c r="AT125" i="5" s="1"/>
  <c r="AO125" i="5"/>
  <c r="AP125" i="5" s="1"/>
  <c r="BI124" i="5"/>
  <c r="BJ124" i="5" s="1"/>
  <c r="BG124" i="5"/>
  <c r="BH124" i="5" s="1"/>
  <c r="BE124" i="5"/>
  <c r="BF124" i="5" s="1"/>
  <c r="BA124" i="5"/>
  <c r="BB124" i="5" s="1"/>
  <c r="AW124" i="5"/>
  <c r="AX124" i="5" s="1"/>
  <c r="AU124" i="5"/>
  <c r="AV124" i="5" s="1"/>
  <c r="AS124" i="5"/>
  <c r="AT124" i="5" s="1"/>
  <c r="AO124" i="5"/>
  <c r="AP124" i="5" s="1"/>
  <c r="BI123" i="5"/>
  <c r="BJ123" i="5" s="1"/>
  <c r="BG123" i="5"/>
  <c r="BH123" i="5" s="1"/>
  <c r="BE123" i="5"/>
  <c r="BF123" i="5" s="1"/>
  <c r="AY123" i="5"/>
  <c r="AZ123" i="5" s="1"/>
  <c r="AW123" i="5"/>
  <c r="AX123" i="5" s="1"/>
  <c r="AU123" i="5"/>
  <c r="AV123" i="5" s="1"/>
  <c r="AS123" i="5"/>
  <c r="AT123" i="5" s="1"/>
  <c r="BI122" i="5"/>
  <c r="BJ122" i="5" s="1"/>
  <c r="BG122" i="5"/>
  <c r="BH122" i="5" s="1"/>
  <c r="BE122" i="5"/>
  <c r="BF122" i="5" s="1"/>
  <c r="BA122" i="5"/>
  <c r="BB122" i="5" s="1"/>
  <c r="AY122" i="5"/>
  <c r="AZ122" i="5" s="1"/>
  <c r="AW122" i="5"/>
  <c r="AX122" i="5" s="1"/>
  <c r="AU122" i="5"/>
  <c r="AV122" i="5" s="1"/>
  <c r="AS122" i="5"/>
  <c r="AT122" i="5" s="1"/>
  <c r="AO122" i="5"/>
  <c r="AP122" i="5" s="1"/>
  <c r="BI121" i="5"/>
  <c r="BJ121" i="5" s="1"/>
  <c r="BG121" i="5"/>
  <c r="BH121" i="5" s="1"/>
  <c r="BE121" i="5"/>
  <c r="BF121" i="5" s="1"/>
  <c r="BA121" i="5"/>
  <c r="BB121" i="5" s="1"/>
  <c r="AY121" i="5"/>
  <c r="AZ121" i="5" s="1"/>
  <c r="AW121" i="5"/>
  <c r="AX121" i="5" s="1"/>
  <c r="AU121" i="5"/>
  <c r="AV121" i="5" s="1"/>
  <c r="AS121" i="5"/>
  <c r="AT121" i="5" s="1"/>
  <c r="AO121" i="5"/>
  <c r="AP121" i="5" s="1"/>
  <c r="BI120" i="5"/>
  <c r="BJ120" i="5" s="1"/>
  <c r="BG120" i="5"/>
  <c r="BH120" i="5" s="1"/>
  <c r="BE120" i="5"/>
  <c r="BF120" i="5" s="1"/>
  <c r="BA120" i="5"/>
  <c r="BB120" i="5" s="1"/>
  <c r="AY120" i="5"/>
  <c r="AZ120" i="5" s="1"/>
  <c r="AW120" i="5"/>
  <c r="AX120" i="5" s="1"/>
  <c r="AU120" i="5"/>
  <c r="AV120" i="5" s="1"/>
  <c r="AS120" i="5"/>
  <c r="AT120" i="5" s="1"/>
  <c r="AO120" i="5"/>
  <c r="AP120" i="5" s="1"/>
  <c r="BI119" i="5"/>
  <c r="BJ119" i="5" s="1"/>
  <c r="BG119" i="5"/>
  <c r="BH119" i="5" s="1"/>
  <c r="BE119" i="5"/>
  <c r="BF119" i="5" s="1"/>
  <c r="BA119" i="5"/>
  <c r="BB119" i="5" s="1"/>
  <c r="AY119" i="5"/>
  <c r="AZ119" i="5" s="1"/>
  <c r="AW119" i="5"/>
  <c r="AX119" i="5" s="1"/>
  <c r="AU119" i="5"/>
  <c r="AV119" i="5" s="1"/>
  <c r="AS119" i="5"/>
  <c r="AT119" i="5" s="1"/>
  <c r="AO119" i="5"/>
  <c r="AP119" i="5" s="1"/>
  <c r="BI118" i="5"/>
  <c r="BJ118" i="5" s="1"/>
  <c r="BG118" i="5"/>
  <c r="BH118" i="5" s="1"/>
  <c r="BE118" i="5"/>
  <c r="BF118" i="5" s="1"/>
  <c r="BA118" i="5"/>
  <c r="BB118" i="5" s="1"/>
  <c r="AY118" i="5"/>
  <c r="AZ118" i="5" s="1"/>
  <c r="AW118" i="5"/>
  <c r="AX118" i="5" s="1"/>
  <c r="AU118" i="5"/>
  <c r="AV118" i="5" s="1"/>
  <c r="AS118" i="5"/>
  <c r="AT118" i="5" s="1"/>
  <c r="AO118" i="5"/>
  <c r="AP118" i="5" s="1"/>
  <c r="BI117" i="5"/>
  <c r="BJ117" i="5" s="1"/>
  <c r="BG117" i="5"/>
  <c r="BH117" i="5" s="1"/>
  <c r="BE117" i="5"/>
  <c r="BF117" i="5" s="1"/>
  <c r="BA117" i="5"/>
  <c r="BB117" i="5" s="1"/>
  <c r="AY117" i="5"/>
  <c r="AZ117" i="5" s="1"/>
  <c r="AW117" i="5"/>
  <c r="AX117" i="5" s="1"/>
  <c r="AU117" i="5"/>
  <c r="AV117" i="5" s="1"/>
  <c r="AS117" i="5"/>
  <c r="AT117" i="5" s="1"/>
  <c r="AO117" i="5"/>
  <c r="AP117" i="5" s="1"/>
  <c r="BI116" i="5"/>
  <c r="BJ116" i="5" s="1"/>
  <c r="BG116" i="5"/>
  <c r="BH116" i="5" s="1"/>
  <c r="BA116" i="5"/>
  <c r="BB116" i="5" s="1"/>
  <c r="AY116" i="5"/>
  <c r="AZ116" i="5" s="1"/>
  <c r="AW116" i="5"/>
  <c r="AX116" i="5" s="1"/>
  <c r="AU116" i="5"/>
  <c r="AV116" i="5" s="1"/>
  <c r="AO116" i="5"/>
  <c r="AP116" i="5" s="1"/>
  <c r="BI115" i="5"/>
  <c r="BJ115" i="5" s="1"/>
  <c r="BG115" i="5"/>
  <c r="BH115" i="5" s="1"/>
  <c r="BA115" i="5"/>
  <c r="BB115" i="5" s="1"/>
  <c r="AY115" i="5"/>
  <c r="AZ115" i="5" s="1"/>
  <c r="AW115" i="5"/>
  <c r="AX115" i="5" s="1"/>
  <c r="AU115" i="5"/>
  <c r="AV115" i="5" s="1"/>
  <c r="AO115" i="5"/>
  <c r="AP115" i="5" s="1"/>
  <c r="BI113" i="5"/>
  <c r="BJ113" i="5" s="1"/>
  <c r="BA113" i="5"/>
  <c r="BB113" i="5" s="1"/>
  <c r="AY113" i="5"/>
  <c r="AZ113" i="5" s="1"/>
  <c r="AW113" i="5"/>
  <c r="AX113" i="5" s="1"/>
  <c r="AO113" i="5"/>
  <c r="AP113" i="5" s="1"/>
  <c r="BI111" i="5"/>
  <c r="BJ111" i="5" s="1"/>
  <c r="BG111" i="5"/>
  <c r="BH111" i="5" s="1"/>
  <c r="BA111" i="5"/>
  <c r="BB111" i="5" s="1"/>
  <c r="AY111" i="5"/>
  <c r="AZ111" i="5" s="1"/>
  <c r="AW111" i="5"/>
  <c r="AX111" i="5" s="1"/>
  <c r="AU111" i="5"/>
  <c r="AV111" i="5" s="1"/>
  <c r="AO111" i="5"/>
  <c r="AP111" i="5" s="1"/>
  <c r="BI110" i="5"/>
  <c r="BJ110" i="5" s="1"/>
  <c r="BG110" i="5"/>
  <c r="BH110" i="5" s="1"/>
  <c r="BA110" i="5"/>
  <c r="BB110" i="5" s="1"/>
  <c r="AY110" i="5"/>
  <c r="AZ110" i="5" s="1"/>
  <c r="AW110" i="5"/>
  <c r="AX110" i="5" s="1"/>
  <c r="AU110" i="5"/>
  <c r="AV110" i="5" s="1"/>
  <c r="AO110" i="5"/>
  <c r="AP110" i="5" s="1"/>
  <c r="BI109" i="5"/>
  <c r="BJ109" i="5" s="1"/>
  <c r="BG109" i="5"/>
  <c r="BH109" i="5" s="1"/>
  <c r="BA109" i="5"/>
  <c r="BB109" i="5" s="1"/>
  <c r="AW109" i="5"/>
  <c r="AX109" i="5" s="1"/>
  <c r="AU109" i="5"/>
  <c r="AV109" i="5" s="1"/>
  <c r="AO109" i="5"/>
  <c r="AP109" i="5" s="1"/>
  <c r="BG108" i="5"/>
  <c r="BH108" i="5" s="1"/>
  <c r="BA108" i="5"/>
  <c r="BB108" i="5" s="1"/>
  <c r="AU108" i="5"/>
  <c r="AV108" i="5" s="1"/>
  <c r="AO108" i="5"/>
  <c r="AP108" i="5" s="1"/>
  <c r="BG107" i="5"/>
  <c r="BA107" i="5"/>
  <c r="BB107" i="5" s="1"/>
  <c r="AU107" i="5"/>
  <c r="AV107" i="5" s="1"/>
  <c r="AO107" i="5"/>
  <c r="AP107" i="5" s="1"/>
  <c r="BI106" i="5"/>
  <c r="BJ106" i="5" s="1"/>
  <c r="BG106" i="5"/>
  <c r="BH106" i="5" s="1"/>
  <c r="BE106" i="5"/>
  <c r="BF106" i="5" s="1"/>
  <c r="BA106" i="5"/>
  <c r="BB106" i="5" s="1"/>
  <c r="AW106" i="5"/>
  <c r="AX106" i="5" s="1"/>
  <c r="AU106" i="5"/>
  <c r="AV106" i="5" s="1"/>
  <c r="AS106" i="5"/>
  <c r="AT106" i="5" s="1"/>
  <c r="AO106" i="5"/>
  <c r="AP106" i="5" s="1"/>
  <c r="BG105" i="5"/>
  <c r="BH105" i="5" s="1"/>
  <c r="BE105" i="5"/>
  <c r="BA105" i="5"/>
  <c r="BB105" i="5" s="1"/>
  <c r="AU105" i="5"/>
  <c r="AS105" i="5"/>
  <c r="AT105" i="5" s="1"/>
  <c r="AO105" i="5"/>
  <c r="AP105" i="5" s="1"/>
  <c r="AM194" i="5"/>
  <c r="AN194" i="5" s="1"/>
  <c r="AM193" i="5"/>
  <c r="AN193" i="5" s="1"/>
  <c r="AM192" i="5"/>
  <c r="AN192" i="5" s="1"/>
  <c r="AM191" i="5"/>
  <c r="AN191" i="5" s="1"/>
  <c r="AM190" i="5"/>
  <c r="AN190" i="5" s="1"/>
  <c r="AM189" i="5"/>
  <c r="AN189" i="5" s="1"/>
  <c r="AM188" i="5"/>
  <c r="AN188" i="5" s="1"/>
  <c r="AM169" i="5"/>
  <c r="AN169" i="5" s="1"/>
  <c r="AM168" i="5"/>
  <c r="AN168" i="5" s="1"/>
  <c r="AM167" i="5"/>
  <c r="AN167" i="5" s="1"/>
  <c r="AM166" i="5"/>
  <c r="AN166" i="5" s="1"/>
  <c r="AM165" i="5"/>
  <c r="AN165" i="5" s="1"/>
  <c r="AM164" i="5"/>
  <c r="AN164" i="5" s="1"/>
  <c r="AM160" i="5"/>
  <c r="AN160" i="5" s="1"/>
  <c r="AM159" i="5"/>
  <c r="AN159" i="5" s="1"/>
  <c r="AM154" i="5"/>
  <c r="AN154" i="5" s="1"/>
  <c r="AM153" i="5"/>
  <c r="AN153" i="5" s="1"/>
  <c r="AM152" i="5"/>
  <c r="AN152" i="5" s="1"/>
  <c r="AM151" i="5"/>
  <c r="AN151" i="5" s="1"/>
  <c r="AM150" i="5"/>
  <c r="AN150" i="5" s="1"/>
  <c r="AM149" i="5"/>
  <c r="AN149" i="5" s="1"/>
  <c r="AM148" i="5"/>
  <c r="AN148" i="5" s="1"/>
  <c r="AM147" i="5"/>
  <c r="AN147" i="5" s="1"/>
  <c r="AM146" i="5"/>
  <c r="AN146" i="5" s="1"/>
  <c r="AM143" i="5"/>
  <c r="AN143" i="5" s="1"/>
  <c r="AM142" i="5"/>
  <c r="AN142" i="5" s="1"/>
  <c r="AM141" i="5"/>
  <c r="AN141" i="5" s="1"/>
  <c r="AM140" i="5"/>
  <c r="AN140" i="5" s="1"/>
  <c r="AM139" i="5"/>
  <c r="AN139" i="5" s="1"/>
  <c r="AM138" i="5"/>
  <c r="AN138" i="5" s="1"/>
  <c r="AM137" i="5"/>
  <c r="AN137" i="5" s="1"/>
  <c r="AM136" i="5"/>
  <c r="AN136" i="5" s="1"/>
  <c r="AM132" i="5"/>
  <c r="AN132" i="5" s="1"/>
  <c r="AM131" i="5"/>
  <c r="AN131" i="5" s="1"/>
  <c r="AM129" i="5"/>
  <c r="AN129" i="5" s="1"/>
  <c r="AM126" i="5"/>
  <c r="AN126" i="5" s="1"/>
  <c r="AM125" i="5"/>
  <c r="AN125" i="5" s="1"/>
  <c r="AM123" i="5"/>
  <c r="AN123" i="5" s="1"/>
  <c r="AM122" i="5"/>
  <c r="AN122" i="5" s="1"/>
  <c r="AM121" i="5"/>
  <c r="AN121" i="5" s="1"/>
  <c r="AM120" i="5"/>
  <c r="AN120" i="5" s="1"/>
  <c r="AM119" i="5"/>
  <c r="AN119" i="5" s="1"/>
  <c r="AM118" i="5"/>
  <c r="AN118" i="5" s="1"/>
  <c r="AM117" i="5"/>
  <c r="AN117" i="5" s="1"/>
  <c r="AM116" i="5"/>
  <c r="AN116" i="5" s="1"/>
  <c r="AM115" i="5"/>
  <c r="AN115" i="5" s="1"/>
  <c r="AM113" i="5"/>
  <c r="AN113" i="5" s="1"/>
  <c r="AM111" i="5"/>
  <c r="AN111" i="5" s="1"/>
  <c r="AM110" i="5"/>
  <c r="AN110" i="5" s="1"/>
  <c r="BG104" i="5"/>
  <c r="BH104" i="5" s="1"/>
  <c r="BE104" i="5"/>
  <c r="BF104" i="5" s="1"/>
  <c r="BA104" i="5"/>
  <c r="BB104" i="5" s="1"/>
  <c r="AU104" i="5"/>
  <c r="AV104" i="5" s="1"/>
  <c r="AS104" i="5"/>
  <c r="AT104" i="5" s="1"/>
  <c r="AO104" i="5"/>
  <c r="AP104" i="5" s="1"/>
  <c r="D37" i="3"/>
  <c r="D36" i="3"/>
  <c r="AG111" i="5"/>
  <c r="Q111" i="5"/>
  <c r="AK111" i="5" s="1"/>
  <c r="AL111" i="5" s="1"/>
  <c r="N111" i="5"/>
  <c r="L111" i="5"/>
  <c r="J111" i="5"/>
  <c r="BE111" i="5" s="1"/>
  <c r="BF111" i="5" s="1"/>
  <c r="H111" i="5"/>
  <c r="AS111" i="5" s="1"/>
  <c r="AT111" i="5" s="1"/>
  <c r="AG110" i="5"/>
  <c r="Q110" i="5"/>
  <c r="AK110" i="5" s="1"/>
  <c r="AL110" i="5" s="1"/>
  <c r="N110" i="5"/>
  <c r="L110" i="5"/>
  <c r="J110" i="5"/>
  <c r="BE110" i="5" s="1"/>
  <c r="BF110" i="5" s="1"/>
  <c r="H110" i="5"/>
  <c r="AS110" i="5" s="1"/>
  <c r="AT110" i="5" s="1"/>
  <c r="AG107" i="5"/>
  <c r="Q107" i="5"/>
  <c r="R107" i="5" s="1"/>
  <c r="N107" i="5"/>
  <c r="L107" i="5"/>
  <c r="J107" i="5"/>
  <c r="BE107" i="5" s="1"/>
  <c r="BF107" i="5" s="1"/>
  <c r="H107" i="5"/>
  <c r="AS107" i="5" s="1"/>
  <c r="A179" i="9" l="1"/>
  <c r="A180" i="9" s="1"/>
  <c r="A193" i="13"/>
  <c r="A194" i="13" s="1"/>
  <c r="A121" i="13"/>
  <c r="A125" i="13" s="1"/>
  <c r="F36" i="3"/>
  <c r="A108" i="9"/>
  <c r="BD105" i="5"/>
  <c r="AR104" i="5"/>
  <c r="AI111" i="5"/>
  <c r="AJ111" i="5" s="1"/>
  <c r="AY107" i="5"/>
  <c r="AZ107" i="5" s="1"/>
  <c r="BI107" i="5"/>
  <c r="BJ107" i="5" s="1"/>
  <c r="AW107" i="5"/>
  <c r="AX107" i="5" s="1"/>
  <c r="AM107" i="5"/>
  <c r="AN107" i="5" s="1"/>
  <c r="AI110" i="5"/>
  <c r="AJ110" i="5" s="1"/>
  <c r="AK107" i="5"/>
  <c r="AL107" i="5" s="1"/>
  <c r="AI107" i="5"/>
  <c r="AJ107" i="5" s="1"/>
  <c r="AV105" i="5"/>
  <c r="BF105" i="5"/>
  <c r="BH107" i="5"/>
  <c r="AT107" i="5"/>
  <c r="D13" i="3"/>
  <c r="D12" i="3"/>
  <c r="A2" i="3"/>
  <c r="D6" i="3"/>
  <c r="D5" i="3"/>
  <c r="D4" i="3"/>
  <c r="D17" i="3"/>
  <c r="D34" i="3"/>
  <c r="D32" i="3"/>
  <c r="D31" i="3"/>
  <c r="D27" i="3"/>
  <c r="D25" i="3"/>
  <c r="D26" i="3"/>
  <c r="D23" i="3"/>
  <c r="D22" i="3"/>
  <c r="D21" i="3"/>
  <c r="D20" i="3"/>
  <c r="D19" i="3"/>
  <c r="D18" i="3"/>
  <c r="A245" i="5"/>
  <c r="A246" i="5" s="1"/>
  <c r="K237" i="5"/>
  <c r="J237" i="5"/>
  <c r="I237" i="5"/>
  <c r="H237" i="5"/>
  <c r="K236" i="5"/>
  <c r="J236" i="5"/>
  <c r="I236" i="5"/>
  <c r="H236" i="5"/>
  <c r="K235" i="5"/>
  <c r="J235" i="5"/>
  <c r="I235" i="5"/>
  <c r="H235" i="5"/>
  <c r="K234" i="5"/>
  <c r="J234" i="5"/>
  <c r="I234" i="5"/>
  <c r="H234" i="5"/>
  <c r="K230" i="5"/>
  <c r="J230" i="5"/>
  <c r="I230" i="5"/>
  <c r="H230" i="5"/>
  <c r="K229" i="5"/>
  <c r="J229" i="5"/>
  <c r="I229" i="5"/>
  <c r="H229" i="5"/>
  <c r="K228" i="5"/>
  <c r="J228" i="5"/>
  <c r="I228" i="5"/>
  <c r="H228" i="5"/>
  <c r="K227" i="5"/>
  <c r="J227" i="5"/>
  <c r="I227" i="5"/>
  <c r="H227" i="5"/>
  <c r="K223" i="5"/>
  <c r="J223" i="5"/>
  <c r="I223" i="5"/>
  <c r="H223" i="5"/>
  <c r="K222" i="5"/>
  <c r="J222" i="5"/>
  <c r="I222" i="5"/>
  <c r="H222" i="5"/>
  <c r="K221" i="5"/>
  <c r="J221" i="5"/>
  <c r="I221" i="5"/>
  <c r="H221" i="5"/>
  <c r="K220" i="5"/>
  <c r="J220" i="5"/>
  <c r="I220" i="5"/>
  <c r="H220" i="5"/>
  <c r="K216" i="5"/>
  <c r="J216" i="5"/>
  <c r="I216" i="5"/>
  <c r="H216" i="5"/>
  <c r="K215" i="5"/>
  <c r="J215" i="5"/>
  <c r="I215" i="5"/>
  <c r="H215" i="5"/>
  <c r="K214" i="5"/>
  <c r="J214" i="5"/>
  <c r="I214" i="5"/>
  <c r="H214" i="5"/>
  <c r="K213" i="5"/>
  <c r="J213" i="5"/>
  <c r="I213" i="5"/>
  <c r="H213" i="5"/>
  <c r="K209" i="5"/>
  <c r="J209" i="5"/>
  <c r="I209" i="5"/>
  <c r="H209" i="5"/>
  <c r="K208" i="5"/>
  <c r="J208" i="5"/>
  <c r="I208" i="5"/>
  <c r="H208" i="5"/>
  <c r="K207" i="5"/>
  <c r="J207" i="5"/>
  <c r="I207" i="5"/>
  <c r="H207" i="5"/>
  <c r="K206" i="5"/>
  <c r="J206" i="5"/>
  <c r="I206" i="5"/>
  <c r="H206" i="5"/>
  <c r="AG194" i="5"/>
  <c r="Q194" i="5"/>
  <c r="N194" i="5"/>
  <c r="L194" i="5"/>
  <c r="J194" i="5"/>
  <c r="H194" i="5"/>
  <c r="A194" i="5"/>
  <c r="AG193" i="5"/>
  <c r="Q193" i="5"/>
  <c r="N193" i="5"/>
  <c r="L193" i="5"/>
  <c r="J193" i="5"/>
  <c r="H193" i="5"/>
  <c r="A193" i="5"/>
  <c r="AG192" i="5"/>
  <c r="Q192" i="5"/>
  <c r="N192" i="5"/>
  <c r="L192" i="5"/>
  <c r="J192" i="5"/>
  <c r="H192" i="5"/>
  <c r="A192" i="5"/>
  <c r="AG191" i="5"/>
  <c r="Q191" i="5"/>
  <c r="N191" i="5"/>
  <c r="L191" i="5"/>
  <c r="J191" i="5"/>
  <c r="H191" i="5"/>
  <c r="A191" i="5"/>
  <c r="AG190" i="5"/>
  <c r="Q190" i="5"/>
  <c r="N190" i="5"/>
  <c r="L190" i="5"/>
  <c r="J190" i="5"/>
  <c r="BE190" i="5" s="1"/>
  <c r="BF190" i="5" s="1"/>
  <c r="H190" i="5"/>
  <c r="AS190" i="5" s="1"/>
  <c r="AT190" i="5" s="1"/>
  <c r="AG189" i="5"/>
  <c r="Q189" i="5"/>
  <c r="N189" i="5"/>
  <c r="L189" i="5"/>
  <c r="J189" i="5"/>
  <c r="BE189" i="5" s="1"/>
  <c r="BF189" i="5" s="1"/>
  <c r="H189" i="5"/>
  <c r="AS189" i="5" s="1"/>
  <c r="AT189" i="5" s="1"/>
  <c r="AG188" i="5"/>
  <c r="Q188" i="5"/>
  <c r="N188" i="5"/>
  <c r="L188" i="5"/>
  <c r="J188" i="5"/>
  <c r="BE188" i="5" s="1"/>
  <c r="BF188" i="5" s="1"/>
  <c r="H188" i="5"/>
  <c r="AS188" i="5" s="1"/>
  <c r="AT188" i="5" s="1"/>
  <c r="AG187" i="5"/>
  <c r="Q187" i="5"/>
  <c r="R187" i="5" s="1"/>
  <c r="N187" i="5"/>
  <c r="L187" i="5"/>
  <c r="J187" i="5"/>
  <c r="AY187" i="5" s="1"/>
  <c r="AZ187" i="5" s="1"/>
  <c r="H187" i="5"/>
  <c r="AM187" i="5" s="1"/>
  <c r="AN187" i="5" s="1"/>
  <c r="AG186" i="5"/>
  <c r="Q186" i="5"/>
  <c r="R186" i="5" s="1"/>
  <c r="N186" i="5"/>
  <c r="L186" i="5"/>
  <c r="J186" i="5"/>
  <c r="H186" i="5"/>
  <c r="AG185" i="5"/>
  <c r="Q185" i="5"/>
  <c r="R185" i="5" s="1"/>
  <c r="N185" i="5"/>
  <c r="L185" i="5"/>
  <c r="J185" i="5"/>
  <c r="AY185" i="5" s="1"/>
  <c r="AZ185" i="5" s="1"/>
  <c r="H185" i="5"/>
  <c r="AM185" i="5" s="1"/>
  <c r="AN185" i="5" s="1"/>
  <c r="AG184" i="5"/>
  <c r="Q184" i="5"/>
  <c r="R184" i="5" s="1"/>
  <c r="N184" i="5"/>
  <c r="L184" i="5"/>
  <c r="J184" i="5"/>
  <c r="AY184" i="5" s="1"/>
  <c r="AZ184" i="5" s="1"/>
  <c r="H184" i="5"/>
  <c r="AM184" i="5" s="1"/>
  <c r="AN184" i="5" s="1"/>
  <c r="AG183" i="5"/>
  <c r="Q183" i="5"/>
  <c r="R183" i="5" s="1"/>
  <c r="N183" i="5"/>
  <c r="L183" i="5"/>
  <c r="J183" i="5"/>
  <c r="AY183" i="5" s="1"/>
  <c r="AZ183" i="5" s="1"/>
  <c r="H183" i="5"/>
  <c r="AM183" i="5" s="1"/>
  <c r="AN183" i="5" s="1"/>
  <c r="AG182" i="5"/>
  <c r="Q182" i="5"/>
  <c r="R182" i="5" s="1"/>
  <c r="N182" i="5"/>
  <c r="L182" i="5"/>
  <c r="J182" i="5"/>
  <c r="H182" i="5"/>
  <c r="AG181" i="5"/>
  <c r="Q181" i="5"/>
  <c r="R181" i="5" s="1"/>
  <c r="N181" i="5"/>
  <c r="L181" i="5"/>
  <c r="J181" i="5"/>
  <c r="AY181" i="5" s="1"/>
  <c r="AZ181" i="5" s="1"/>
  <c r="H181" i="5"/>
  <c r="AM181" i="5" s="1"/>
  <c r="AN181" i="5" s="1"/>
  <c r="AG180" i="5"/>
  <c r="Q180" i="5"/>
  <c r="R180" i="5" s="1"/>
  <c r="N180" i="5"/>
  <c r="L180" i="5"/>
  <c r="J180" i="5"/>
  <c r="AY180" i="5" s="1"/>
  <c r="AZ180" i="5" s="1"/>
  <c r="H180" i="5"/>
  <c r="AM180" i="5" s="1"/>
  <c r="AN180" i="5" s="1"/>
  <c r="AG179" i="5"/>
  <c r="Q179" i="5"/>
  <c r="R179" i="5" s="1"/>
  <c r="N179" i="5"/>
  <c r="L179" i="5"/>
  <c r="J179" i="5"/>
  <c r="AY179" i="5" s="1"/>
  <c r="AZ179" i="5" s="1"/>
  <c r="H179" i="5"/>
  <c r="AM179" i="5" s="1"/>
  <c r="AN179" i="5" s="1"/>
  <c r="AG178" i="5"/>
  <c r="Q178" i="5"/>
  <c r="R178" i="5" s="1"/>
  <c r="N178" i="5"/>
  <c r="L178" i="5"/>
  <c r="J178" i="5"/>
  <c r="AY178" i="5" s="1"/>
  <c r="AZ178" i="5" s="1"/>
  <c r="H178" i="5"/>
  <c r="AM178" i="5" s="1"/>
  <c r="AN178" i="5" s="1"/>
  <c r="AG177" i="5"/>
  <c r="Q177" i="5"/>
  <c r="R177" i="5" s="1"/>
  <c r="N177" i="5"/>
  <c r="L177" i="5"/>
  <c r="J177" i="5"/>
  <c r="AY177" i="5" s="1"/>
  <c r="AZ177" i="5" s="1"/>
  <c r="H177" i="5"/>
  <c r="AM177" i="5" s="1"/>
  <c r="AN177" i="5" s="1"/>
  <c r="AG176" i="5"/>
  <c r="Q176" i="5"/>
  <c r="R176" i="5" s="1"/>
  <c r="N176" i="5"/>
  <c r="L176" i="5"/>
  <c r="J176" i="5"/>
  <c r="AY176" i="5" s="1"/>
  <c r="AZ176" i="5" s="1"/>
  <c r="H176" i="5"/>
  <c r="AM176" i="5" s="1"/>
  <c r="AN176" i="5" s="1"/>
  <c r="AG175" i="5"/>
  <c r="Q175" i="5"/>
  <c r="R175" i="5" s="1"/>
  <c r="N175" i="5"/>
  <c r="L175" i="5"/>
  <c r="J175" i="5"/>
  <c r="AY175" i="5" s="1"/>
  <c r="AZ175" i="5" s="1"/>
  <c r="H175" i="5"/>
  <c r="AM175" i="5" s="1"/>
  <c r="AN175" i="5" s="1"/>
  <c r="AG174" i="5"/>
  <c r="Q174" i="5"/>
  <c r="R174" i="5" s="1"/>
  <c r="N174" i="5"/>
  <c r="L174" i="5"/>
  <c r="J174" i="5"/>
  <c r="AY174" i="5" s="1"/>
  <c r="AZ174" i="5" s="1"/>
  <c r="H174" i="5"/>
  <c r="AM174" i="5" s="1"/>
  <c r="AN174" i="5" s="1"/>
  <c r="AG173" i="5"/>
  <c r="Q173" i="5"/>
  <c r="R173" i="5" s="1"/>
  <c r="N173" i="5"/>
  <c r="L173" i="5"/>
  <c r="J173" i="5"/>
  <c r="AY173" i="5" s="1"/>
  <c r="AZ173" i="5" s="1"/>
  <c r="H173" i="5"/>
  <c r="AM173" i="5" s="1"/>
  <c r="AN173" i="5" s="1"/>
  <c r="AG172" i="5"/>
  <c r="Q172" i="5"/>
  <c r="R172" i="5" s="1"/>
  <c r="N172" i="5"/>
  <c r="L172" i="5"/>
  <c r="J172" i="5"/>
  <c r="AY172" i="5" s="1"/>
  <c r="AZ172" i="5" s="1"/>
  <c r="H172" i="5"/>
  <c r="AM172" i="5" s="1"/>
  <c r="AN172" i="5" s="1"/>
  <c r="AG171" i="5"/>
  <c r="Q171" i="5"/>
  <c r="R171" i="5" s="1"/>
  <c r="N171" i="5"/>
  <c r="L171" i="5"/>
  <c r="J171" i="5"/>
  <c r="AY171" i="5" s="1"/>
  <c r="AZ171" i="5" s="1"/>
  <c r="H171" i="5"/>
  <c r="AM171" i="5" s="1"/>
  <c r="AN171" i="5" s="1"/>
  <c r="AG170" i="5"/>
  <c r="Q170" i="5"/>
  <c r="R170" i="5" s="1"/>
  <c r="N170" i="5"/>
  <c r="L170" i="5"/>
  <c r="J170" i="5"/>
  <c r="H170" i="5"/>
  <c r="AG168" i="5"/>
  <c r="Q168" i="5"/>
  <c r="N168" i="5"/>
  <c r="L168" i="5"/>
  <c r="J168" i="5"/>
  <c r="H168" i="5"/>
  <c r="A168" i="5"/>
  <c r="AG167" i="5"/>
  <c r="Q167" i="5"/>
  <c r="N167" i="5"/>
  <c r="L167" i="5"/>
  <c r="J167" i="5"/>
  <c r="H167" i="5"/>
  <c r="A167" i="5"/>
  <c r="AG166" i="5"/>
  <c r="Q166" i="5"/>
  <c r="N166" i="5"/>
  <c r="L166" i="5"/>
  <c r="J166" i="5"/>
  <c r="H166" i="5"/>
  <c r="A166" i="5"/>
  <c r="AG165" i="5"/>
  <c r="Q165" i="5"/>
  <c r="N165" i="5"/>
  <c r="L165" i="5"/>
  <c r="J165" i="5"/>
  <c r="H165" i="5"/>
  <c r="A165" i="5"/>
  <c r="AG164" i="5"/>
  <c r="Q164" i="5"/>
  <c r="N164" i="5"/>
  <c r="L164" i="5"/>
  <c r="J164" i="5"/>
  <c r="BE164" i="5" s="1"/>
  <c r="BF164" i="5" s="1"/>
  <c r="H164" i="5"/>
  <c r="AS164" i="5" s="1"/>
  <c r="AT164" i="5" s="1"/>
  <c r="AG162" i="5"/>
  <c r="Q162" i="5"/>
  <c r="R162" i="5" s="1"/>
  <c r="N162" i="5"/>
  <c r="L162" i="5"/>
  <c r="J162" i="5"/>
  <c r="AY162" i="5" s="1"/>
  <c r="AZ162" i="5" s="1"/>
  <c r="H162" i="5"/>
  <c r="AM162" i="5" s="1"/>
  <c r="AN162" i="5" s="1"/>
  <c r="AG161" i="5"/>
  <c r="Q161" i="5"/>
  <c r="R161" i="5" s="1"/>
  <c r="N161" i="5"/>
  <c r="L161" i="5"/>
  <c r="J161" i="5"/>
  <c r="AY161" i="5" s="1"/>
  <c r="AZ161" i="5" s="1"/>
  <c r="H161" i="5"/>
  <c r="AM161" i="5" s="1"/>
  <c r="AN161" i="5" s="1"/>
  <c r="AG160" i="5"/>
  <c r="Q160" i="5"/>
  <c r="N160" i="5"/>
  <c r="L160" i="5"/>
  <c r="J160" i="5"/>
  <c r="BA160" i="5" s="1"/>
  <c r="BB160" i="5" s="1"/>
  <c r="H160" i="5"/>
  <c r="AO160" i="5" s="1"/>
  <c r="AP160" i="5" s="1"/>
  <c r="AG159" i="5"/>
  <c r="Q159" i="5"/>
  <c r="N159" i="5"/>
  <c r="L159" i="5"/>
  <c r="J159" i="5"/>
  <c r="BC159" i="5" s="1"/>
  <c r="BD159" i="5" s="1"/>
  <c r="H159" i="5"/>
  <c r="AQ159" i="5" s="1"/>
  <c r="AR159" i="5" s="1"/>
  <c r="AG158" i="5"/>
  <c r="Q158" i="5"/>
  <c r="R158" i="5" s="1"/>
  <c r="N158" i="5"/>
  <c r="L158" i="5"/>
  <c r="J158" i="5"/>
  <c r="H158" i="5"/>
  <c r="AG157" i="5"/>
  <c r="Q157" i="5"/>
  <c r="R157" i="5" s="1"/>
  <c r="N157" i="5"/>
  <c r="L157" i="5"/>
  <c r="J157" i="5"/>
  <c r="H157" i="5"/>
  <c r="AG156" i="5"/>
  <c r="Q156" i="5"/>
  <c r="R156" i="5" s="1"/>
  <c r="N156" i="5"/>
  <c r="L156" i="5"/>
  <c r="J156" i="5"/>
  <c r="H156" i="5"/>
  <c r="AG155" i="5"/>
  <c r="Q155" i="5"/>
  <c r="R155" i="5" s="1"/>
  <c r="N155" i="5"/>
  <c r="L155" i="5"/>
  <c r="J155" i="5"/>
  <c r="H155" i="5"/>
  <c r="AG153" i="5"/>
  <c r="Q153" i="5"/>
  <c r="N153" i="5"/>
  <c r="L153" i="5"/>
  <c r="J153" i="5"/>
  <c r="H153" i="5"/>
  <c r="A153" i="5"/>
  <c r="AG152" i="5"/>
  <c r="Q152" i="5"/>
  <c r="N152" i="5"/>
  <c r="L152" i="5"/>
  <c r="J152" i="5"/>
  <c r="H152" i="5"/>
  <c r="A152" i="5"/>
  <c r="AG151" i="5"/>
  <c r="Q151" i="5"/>
  <c r="N151" i="5"/>
  <c r="L151" i="5"/>
  <c r="J151" i="5"/>
  <c r="H151" i="5"/>
  <c r="A151" i="5"/>
  <c r="AG150" i="5"/>
  <c r="Q150" i="5"/>
  <c r="N150" i="5"/>
  <c r="L150" i="5"/>
  <c r="J150" i="5"/>
  <c r="H150" i="5"/>
  <c r="A150" i="5"/>
  <c r="AG149" i="5"/>
  <c r="Q149" i="5"/>
  <c r="N149" i="5"/>
  <c r="L149" i="5"/>
  <c r="J149" i="5"/>
  <c r="BI149" i="5" s="1"/>
  <c r="BJ149" i="5" s="1"/>
  <c r="H149" i="5"/>
  <c r="AW149" i="5" s="1"/>
  <c r="AX149" i="5" s="1"/>
  <c r="AG148" i="5"/>
  <c r="Q148" i="5"/>
  <c r="N148" i="5"/>
  <c r="L148" i="5"/>
  <c r="J148" i="5"/>
  <c r="BE148" i="5" s="1"/>
  <c r="BF148" i="5" s="1"/>
  <c r="H148" i="5"/>
  <c r="AS148" i="5" s="1"/>
  <c r="AT148" i="5" s="1"/>
  <c r="AG147" i="5"/>
  <c r="Q147" i="5"/>
  <c r="N147" i="5"/>
  <c r="L147" i="5"/>
  <c r="J147" i="5"/>
  <c r="BA147" i="5" s="1"/>
  <c r="BB147" i="5" s="1"/>
  <c r="H147" i="5"/>
  <c r="AO147" i="5" s="1"/>
  <c r="AP147" i="5" s="1"/>
  <c r="AG146" i="5"/>
  <c r="Q146" i="5"/>
  <c r="L146" i="5"/>
  <c r="J146" i="5"/>
  <c r="BA146" i="5" s="1"/>
  <c r="BB146" i="5" s="1"/>
  <c r="H146" i="5"/>
  <c r="AO146" i="5" s="1"/>
  <c r="AP146" i="5" s="1"/>
  <c r="AG145" i="5"/>
  <c r="Q145" i="5"/>
  <c r="R145" i="5" s="1"/>
  <c r="N145" i="5"/>
  <c r="L145" i="5"/>
  <c r="J145" i="5"/>
  <c r="AY145" i="5" s="1"/>
  <c r="AZ145" i="5" s="1"/>
  <c r="H145" i="5"/>
  <c r="AM145" i="5" s="1"/>
  <c r="AN145" i="5" s="1"/>
  <c r="AG144" i="5"/>
  <c r="Q144" i="5"/>
  <c r="R144" i="5" s="1"/>
  <c r="N144" i="5"/>
  <c r="L144" i="5"/>
  <c r="J144" i="5"/>
  <c r="AY144" i="5" s="1"/>
  <c r="AZ144" i="5" s="1"/>
  <c r="H144" i="5"/>
  <c r="AM144" i="5" s="1"/>
  <c r="AN144" i="5" s="1"/>
  <c r="AG143" i="5"/>
  <c r="Q143" i="5"/>
  <c r="N143" i="5"/>
  <c r="L143" i="5"/>
  <c r="J143" i="5"/>
  <c r="BC143" i="5" s="1"/>
  <c r="BD143" i="5" s="1"/>
  <c r="H143" i="5"/>
  <c r="AQ143" i="5" s="1"/>
  <c r="AR143" i="5" s="1"/>
  <c r="AG141" i="5"/>
  <c r="Q141" i="5"/>
  <c r="N141" i="5"/>
  <c r="L141" i="5"/>
  <c r="J141" i="5"/>
  <c r="H141" i="5"/>
  <c r="A141" i="5"/>
  <c r="AG140" i="5"/>
  <c r="Q140" i="5"/>
  <c r="N140" i="5"/>
  <c r="L140" i="5"/>
  <c r="J140" i="5"/>
  <c r="H140" i="5"/>
  <c r="A140" i="5"/>
  <c r="AG139" i="5"/>
  <c r="Q139" i="5"/>
  <c r="N139" i="5"/>
  <c r="L139" i="5"/>
  <c r="J139" i="5"/>
  <c r="H139" i="5"/>
  <c r="A139" i="5"/>
  <c r="AG138" i="5"/>
  <c r="Q138" i="5"/>
  <c r="N138" i="5"/>
  <c r="L138" i="5"/>
  <c r="J138" i="5"/>
  <c r="H138" i="5"/>
  <c r="A138" i="5"/>
  <c r="AG137" i="5"/>
  <c r="Q137" i="5"/>
  <c r="N137" i="5"/>
  <c r="L137" i="5"/>
  <c r="J137" i="5"/>
  <c r="BG137" i="5" s="1"/>
  <c r="BH137" i="5" s="1"/>
  <c r="H137" i="5"/>
  <c r="AU137" i="5" s="1"/>
  <c r="AV137" i="5" s="1"/>
  <c r="AG136" i="5"/>
  <c r="Q136" i="5"/>
  <c r="N136" i="5"/>
  <c r="L136" i="5"/>
  <c r="J136" i="5"/>
  <c r="BG136" i="5" s="1"/>
  <c r="BH136" i="5" s="1"/>
  <c r="H136" i="5"/>
  <c r="AU136" i="5" s="1"/>
  <c r="AV136" i="5" s="1"/>
  <c r="AG132" i="5"/>
  <c r="Q132" i="5"/>
  <c r="N132" i="5"/>
  <c r="L132" i="5"/>
  <c r="J132" i="5"/>
  <c r="BG132" i="5" s="1"/>
  <c r="BH132" i="5" s="1"/>
  <c r="H132" i="5"/>
  <c r="AU132" i="5" s="1"/>
  <c r="AV132" i="5" s="1"/>
  <c r="AG131" i="5"/>
  <c r="Q131" i="5"/>
  <c r="N131" i="5"/>
  <c r="L131" i="5"/>
  <c r="J131" i="5"/>
  <c r="BE131" i="5" s="1"/>
  <c r="BF131" i="5" s="1"/>
  <c r="H131" i="5"/>
  <c r="AS131" i="5" s="1"/>
  <c r="AT131" i="5" s="1"/>
  <c r="AG130" i="5"/>
  <c r="Q130" i="5"/>
  <c r="R130" i="5" s="1"/>
  <c r="N130" i="5"/>
  <c r="L130" i="5"/>
  <c r="J130" i="5"/>
  <c r="H130" i="5"/>
  <c r="AG129" i="5"/>
  <c r="Q129" i="5"/>
  <c r="N129" i="5"/>
  <c r="L129" i="5"/>
  <c r="J129" i="5"/>
  <c r="H129" i="5"/>
  <c r="AG128" i="5"/>
  <c r="Q128" i="5"/>
  <c r="R128" i="5" s="1"/>
  <c r="N128" i="5"/>
  <c r="L128" i="5"/>
  <c r="J128" i="5"/>
  <c r="AY128" i="5" s="1"/>
  <c r="AZ128" i="5" s="1"/>
  <c r="H128" i="5"/>
  <c r="AM128" i="5" s="1"/>
  <c r="AN128" i="5" s="1"/>
  <c r="AG127" i="5"/>
  <c r="Q127" i="5"/>
  <c r="R127" i="5" s="1"/>
  <c r="N127" i="5"/>
  <c r="L127" i="5"/>
  <c r="J127" i="5"/>
  <c r="AY127" i="5" s="1"/>
  <c r="AZ127" i="5" s="1"/>
  <c r="H127" i="5"/>
  <c r="AM127" i="5" s="1"/>
  <c r="AN127" i="5" s="1"/>
  <c r="AG126" i="5"/>
  <c r="Q126" i="5"/>
  <c r="N126" i="5"/>
  <c r="L126" i="5"/>
  <c r="J126" i="5"/>
  <c r="BA126" i="5" s="1"/>
  <c r="BB126" i="5" s="1"/>
  <c r="H126" i="5"/>
  <c r="AO126" i="5" s="1"/>
  <c r="AP126" i="5" s="1"/>
  <c r="AG125" i="5"/>
  <c r="Q125" i="5"/>
  <c r="N125" i="5"/>
  <c r="L125" i="5"/>
  <c r="J125" i="5"/>
  <c r="BC125" i="5" s="1"/>
  <c r="BD125" i="5" s="1"/>
  <c r="H125" i="5"/>
  <c r="AQ125" i="5" s="1"/>
  <c r="AR125" i="5" s="1"/>
  <c r="AG124" i="5"/>
  <c r="Q124" i="5"/>
  <c r="R124" i="5" s="1"/>
  <c r="N124" i="5"/>
  <c r="L124" i="5"/>
  <c r="J124" i="5"/>
  <c r="AY124" i="5" s="1"/>
  <c r="AZ124" i="5" s="1"/>
  <c r="H124" i="5"/>
  <c r="AM124" i="5" s="1"/>
  <c r="AN124" i="5" s="1"/>
  <c r="AG123" i="5"/>
  <c r="Q123" i="5"/>
  <c r="N123" i="5"/>
  <c r="L123" i="5"/>
  <c r="J123" i="5"/>
  <c r="BA123" i="5" s="1"/>
  <c r="BB123" i="5" s="1"/>
  <c r="H123" i="5"/>
  <c r="AO123" i="5" s="1"/>
  <c r="AP123" i="5" s="1"/>
  <c r="AG122" i="5"/>
  <c r="Q122" i="5"/>
  <c r="N122" i="5"/>
  <c r="L122" i="5"/>
  <c r="J122" i="5"/>
  <c r="BC122" i="5" s="1"/>
  <c r="BD122" i="5" s="1"/>
  <c r="H122" i="5"/>
  <c r="AQ122" i="5" s="1"/>
  <c r="AR122" i="5" s="1"/>
  <c r="AG120" i="5"/>
  <c r="Q120" i="5"/>
  <c r="AK120" i="5" s="1"/>
  <c r="AL120" i="5" s="1"/>
  <c r="N120" i="5"/>
  <c r="L120" i="5"/>
  <c r="J120" i="5"/>
  <c r="H120" i="5"/>
  <c r="A120" i="5"/>
  <c r="AG119" i="5"/>
  <c r="Q119" i="5"/>
  <c r="AK119" i="5" s="1"/>
  <c r="AL119" i="5" s="1"/>
  <c r="N119" i="5"/>
  <c r="L119" i="5"/>
  <c r="J119" i="5"/>
  <c r="H119" i="5"/>
  <c r="A119" i="5"/>
  <c r="AG118" i="5"/>
  <c r="Q118" i="5"/>
  <c r="AK118" i="5" s="1"/>
  <c r="AL118" i="5" s="1"/>
  <c r="N118" i="5"/>
  <c r="L118" i="5"/>
  <c r="J118" i="5"/>
  <c r="H118" i="5"/>
  <c r="A118" i="5"/>
  <c r="AG117" i="5"/>
  <c r="Q117" i="5"/>
  <c r="AK117" i="5" s="1"/>
  <c r="AL117" i="5" s="1"/>
  <c r="N117" i="5"/>
  <c r="L117" i="5"/>
  <c r="J117" i="5"/>
  <c r="H117" i="5"/>
  <c r="A117" i="5"/>
  <c r="AG116" i="5"/>
  <c r="Q116" i="5"/>
  <c r="AK116" i="5" s="1"/>
  <c r="AL116" i="5" s="1"/>
  <c r="N116" i="5"/>
  <c r="L116" i="5"/>
  <c r="J116" i="5"/>
  <c r="BE116" i="5" s="1"/>
  <c r="BF116" i="5" s="1"/>
  <c r="H116" i="5"/>
  <c r="AG115" i="5"/>
  <c r="Q115" i="5"/>
  <c r="AK115" i="5" s="1"/>
  <c r="AL115" i="5" s="1"/>
  <c r="N115" i="5"/>
  <c r="L115" i="5"/>
  <c r="J115" i="5"/>
  <c r="BE115" i="5" s="1"/>
  <c r="BF115" i="5" s="1"/>
  <c r="H115" i="5"/>
  <c r="AG113" i="5"/>
  <c r="Q113" i="5"/>
  <c r="AK113" i="5" s="1"/>
  <c r="AL113" i="5" s="1"/>
  <c r="N113" i="5"/>
  <c r="L113" i="5"/>
  <c r="J113" i="5"/>
  <c r="H113" i="5"/>
  <c r="AU113" i="5" s="1"/>
  <c r="AV113" i="5" s="1"/>
  <c r="AG109" i="5"/>
  <c r="Q109" i="5"/>
  <c r="R109" i="5" s="1"/>
  <c r="N109" i="5"/>
  <c r="L109" i="5"/>
  <c r="J109" i="5"/>
  <c r="H109" i="5"/>
  <c r="AG108" i="5"/>
  <c r="Q108" i="5"/>
  <c r="R108" i="5" s="1"/>
  <c r="N108" i="5"/>
  <c r="L108" i="5"/>
  <c r="J108" i="5"/>
  <c r="H108" i="5"/>
  <c r="AG106" i="5"/>
  <c r="Q106" i="5"/>
  <c r="R106" i="5" s="1"/>
  <c r="N106" i="5"/>
  <c r="L106" i="5"/>
  <c r="J106" i="5"/>
  <c r="AY106" i="5" s="1"/>
  <c r="AZ106" i="5" s="1"/>
  <c r="H106" i="5"/>
  <c r="AG105" i="5"/>
  <c r="Q105" i="5"/>
  <c r="R105" i="5" s="1"/>
  <c r="N105" i="5"/>
  <c r="L105" i="5"/>
  <c r="J105" i="5"/>
  <c r="H105" i="5"/>
  <c r="A105" i="5"/>
  <c r="AG104" i="5"/>
  <c r="Q104" i="5"/>
  <c r="N104" i="5"/>
  <c r="L104" i="5"/>
  <c r="J104" i="5"/>
  <c r="H104" i="5"/>
  <c r="A58" i="5"/>
  <c r="H58" i="3"/>
  <c r="H45" i="3"/>
  <c r="H57" i="3"/>
  <c r="A73" i="3"/>
  <c r="A46" i="3"/>
  <c r="A47" i="3" s="1"/>
  <c r="H61" i="3"/>
  <c r="H60" i="3"/>
  <c r="H59" i="3"/>
  <c r="H56" i="3"/>
  <c r="H55" i="3"/>
  <c r="H54" i="3"/>
  <c r="H53" i="3"/>
  <c r="H52" i="3"/>
  <c r="H51" i="3"/>
  <c r="H50" i="3"/>
  <c r="H49" i="3"/>
  <c r="H48" i="3"/>
  <c r="H47" i="3"/>
  <c r="H46" i="3"/>
  <c r="A195" i="13" l="1"/>
  <c r="A126" i="13"/>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1" i="13" s="1"/>
  <c r="A181" i="9"/>
  <c r="A109" i="9"/>
  <c r="BE113" i="5"/>
  <c r="BF113" i="5" s="1"/>
  <c r="BG113" i="5"/>
  <c r="BH113" i="5" s="1"/>
  <c r="A107" i="5"/>
  <c r="AM186" i="5"/>
  <c r="AN186" i="5" s="1"/>
  <c r="AO186" i="5"/>
  <c r="AP186" i="5" s="1"/>
  <c r="AY186" i="5"/>
  <c r="AZ186" i="5" s="1"/>
  <c r="BA186" i="5"/>
  <c r="BB186" i="5" s="1"/>
  <c r="G87" i="3"/>
  <c r="BA129" i="5"/>
  <c r="BB129" i="5" s="1"/>
  <c r="BC129" i="5"/>
  <c r="BD129" i="5" s="1"/>
  <c r="BD195" i="5" s="1"/>
  <c r="AO129" i="5"/>
  <c r="AP129" i="5" s="1"/>
  <c r="AQ129" i="5"/>
  <c r="AR129" i="5" s="1"/>
  <c r="AR195" i="5" s="1"/>
  <c r="AI120" i="5"/>
  <c r="AJ120" i="5" s="1"/>
  <c r="BE108" i="5"/>
  <c r="AY108" i="5"/>
  <c r="AZ108" i="5" s="1"/>
  <c r="BI108" i="5"/>
  <c r="BJ108" i="5" s="1"/>
  <c r="AY156" i="5"/>
  <c r="AZ156" i="5" s="1"/>
  <c r="BG156" i="5"/>
  <c r="BH156" i="5" s="1"/>
  <c r="AK105" i="5"/>
  <c r="AL105" i="5" s="1"/>
  <c r="AK104" i="5"/>
  <c r="AL104" i="5" s="1"/>
  <c r="AK109" i="5"/>
  <c r="AL109" i="5" s="1"/>
  <c r="AS115" i="5"/>
  <c r="AT115" i="5" s="1"/>
  <c r="AI115" i="5"/>
  <c r="AJ115" i="5" s="1"/>
  <c r="AM130" i="5"/>
  <c r="AN130" i="5" s="1"/>
  <c r="AS130" i="5"/>
  <c r="AT130" i="5" s="1"/>
  <c r="AM155" i="5"/>
  <c r="AN155" i="5" s="1"/>
  <c r="AU155" i="5"/>
  <c r="AV155" i="5" s="1"/>
  <c r="AY130" i="5"/>
  <c r="AZ130" i="5" s="1"/>
  <c r="BE130" i="5"/>
  <c r="BF130" i="5" s="1"/>
  <c r="BG155" i="5"/>
  <c r="BH155" i="5" s="1"/>
  <c r="AY155" i="5"/>
  <c r="AZ155" i="5" s="1"/>
  <c r="AU156" i="5"/>
  <c r="AV156" i="5" s="1"/>
  <c r="AM156" i="5"/>
  <c r="AN156" i="5" s="1"/>
  <c r="AS158" i="5"/>
  <c r="AT158" i="5" s="1"/>
  <c r="AM158" i="5"/>
  <c r="AN158" i="5" s="1"/>
  <c r="AO170" i="5"/>
  <c r="AP170" i="5" s="1"/>
  <c r="AM170" i="5"/>
  <c r="AN170" i="5" s="1"/>
  <c r="AM182" i="5"/>
  <c r="AN182" i="5" s="1"/>
  <c r="AO182" i="5"/>
  <c r="AP182" i="5" s="1"/>
  <c r="AI119" i="5"/>
  <c r="AJ119" i="5" s="1"/>
  <c r="AY158" i="5"/>
  <c r="AZ158" i="5" s="1"/>
  <c r="BE158" i="5"/>
  <c r="BF158" i="5" s="1"/>
  <c r="BA170" i="5"/>
  <c r="BB170" i="5" s="1"/>
  <c r="AY170" i="5"/>
  <c r="AZ170" i="5" s="1"/>
  <c r="BA182" i="5"/>
  <c r="BB182" i="5" s="1"/>
  <c r="AY182" i="5"/>
  <c r="AZ182" i="5" s="1"/>
  <c r="AS108" i="5"/>
  <c r="AW108" i="5"/>
  <c r="AX108" i="5" s="1"/>
  <c r="AI108" i="5"/>
  <c r="AJ108" i="5" s="1"/>
  <c r="AM108" i="5"/>
  <c r="AN108" i="5" s="1"/>
  <c r="AS109" i="5"/>
  <c r="AT109" i="5" s="1"/>
  <c r="AM109" i="5"/>
  <c r="AN109" i="5" s="1"/>
  <c r="AI109" i="5"/>
  <c r="AJ109" i="5" s="1"/>
  <c r="AI118" i="5"/>
  <c r="AJ118" i="5" s="1"/>
  <c r="AM157" i="5"/>
  <c r="AN157" i="5" s="1"/>
  <c r="AU157" i="5"/>
  <c r="AV157" i="5" s="1"/>
  <c r="AS116" i="5"/>
  <c r="AT116" i="5" s="1"/>
  <c r="AI116" i="5"/>
  <c r="AJ116" i="5" s="1"/>
  <c r="AW105" i="5"/>
  <c r="AX105" i="5" s="1"/>
  <c r="AM105" i="5"/>
  <c r="AN105" i="5" s="1"/>
  <c r="AK108" i="5"/>
  <c r="AL108" i="5" s="1"/>
  <c r="AS113" i="5"/>
  <c r="AT113" i="5" s="1"/>
  <c r="AI113" i="5"/>
  <c r="AJ113" i="5" s="1"/>
  <c r="BE109" i="5"/>
  <c r="BF109" i="5" s="1"/>
  <c r="AY109" i="5"/>
  <c r="AZ109" i="5" s="1"/>
  <c r="AI117" i="5"/>
  <c r="AJ117" i="5" s="1"/>
  <c r="AY157" i="5"/>
  <c r="AZ157" i="5" s="1"/>
  <c r="BG157" i="5"/>
  <c r="BH157" i="5" s="1"/>
  <c r="AK106" i="5"/>
  <c r="AI106" i="5"/>
  <c r="AJ106" i="5" s="1"/>
  <c r="AM106" i="5"/>
  <c r="AN106" i="5" s="1"/>
  <c r="BI104" i="5"/>
  <c r="AY104" i="5"/>
  <c r="AY105" i="5"/>
  <c r="AI105" i="5"/>
  <c r="AJ105" i="5" s="1"/>
  <c r="BI105" i="5"/>
  <c r="AW104" i="5"/>
  <c r="AM104" i="5"/>
  <c r="AI104" i="5"/>
  <c r="G81" i="3"/>
  <c r="G77" i="3"/>
  <c r="G88" i="3"/>
  <c r="A74" i="3"/>
  <c r="A75" i="3" s="1"/>
  <c r="G93" i="3"/>
  <c r="G101" i="3"/>
  <c r="G110" i="3"/>
  <c r="G94" i="3"/>
  <c r="A59" i="5"/>
  <c r="A60" i="5" s="1"/>
  <c r="A61" i="5" s="1"/>
  <c r="A247" i="5"/>
  <c r="A106" i="5"/>
  <c r="A108" i="5" s="1"/>
  <c r="G108" i="3"/>
  <c r="G109" i="3"/>
  <c r="G98" i="3"/>
  <c r="G95" i="3"/>
  <c r="G103" i="3"/>
  <c r="G73" i="3"/>
  <c r="G75" i="3"/>
  <c r="G107" i="3"/>
  <c r="G74" i="3"/>
  <c r="G85" i="3"/>
  <c r="G86" i="3"/>
  <c r="G105" i="3"/>
  <c r="G106" i="3"/>
  <c r="G82" i="3"/>
  <c r="G97" i="3"/>
  <c r="G99" i="3"/>
  <c r="G91" i="3"/>
  <c r="G76" i="3"/>
  <c r="G92" i="3"/>
  <c r="G111" i="3"/>
  <c r="G96" i="3"/>
  <c r="G83" i="3"/>
  <c r="G72" i="3"/>
  <c r="G84" i="3"/>
  <c r="G104" i="3"/>
  <c r="G78" i="3"/>
  <c r="G100" i="3"/>
  <c r="G79" i="3"/>
  <c r="G89" i="3"/>
  <c r="G102" i="3"/>
  <c r="G80" i="3"/>
  <c r="G90" i="3"/>
  <c r="B123" i="13" l="1"/>
  <c r="A182" i="9"/>
  <c r="A183" i="9" s="1"/>
  <c r="A184" i="9" s="1"/>
  <c r="A185" i="9" s="1"/>
  <c r="A186" i="9" s="1"/>
  <c r="A187" i="9" s="1"/>
  <c r="A188" i="9" s="1"/>
  <c r="A189" i="9" s="1"/>
  <c r="A190" i="9" s="1"/>
  <c r="A191" i="9" s="1"/>
  <c r="A192" i="9" s="1"/>
  <c r="A110" i="9"/>
  <c r="A76" i="3"/>
  <c r="A77" i="3" s="1"/>
  <c r="D249" i="5"/>
  <c r="BC196" i="5"/>
  <c r="BC206" i="5" s="1"/>
  <c r="BC195" i="5"/>
  <c r="BC205" i="5" s="1"/>
  <c r="AQ196" i="5"/>
  <c r="AQ206" i="5" s="1"/>
  <c r="AP195" i="5"/>
  <c r="AQ195" i="5"/>
  <c r="AQ205" i="5" s="1"/>
  <c r="BG196" i="5"/>
  <c r="BG206" i="5" s="1"/>
  <c r="BA196" i="5"/>
  <c r="BA206" i="5" s="1"/>
  <c r="BB195" i="5"/>
  <c r="AW196" i="5"/>
  <c r="AW206" i="5" s="1"/>
  <c r="AS196" i="5"/>
  <c r="AS206" i="5" s="1"/>
  <c r="BJ104" i="5"/>
  <c r="BI196" i="5"/>
  <c r="BI206" i="5" s="1"/>
  <c r="AO195" i="5"/>
  <c r="BH195" i="5"/>
  <c r="AZ104" i="5"/>
  <c r="AY196" i="5"/>
  <c r="AY206" i="5" s="1"/>
  <c r="AV195" i="5"/>
  <c r="BE196" i="5"/>
  <c r="BE206" i="5" s="1"/>
  <c r="AO196" i="5"/>
  <c r="AO206" i="5" s="1"/>
  <c r="AM196" i="5"/>
  <c r="AM206" i="5" s="1"/>
  <c r="AU196" i="5"/>
  <c r="AU206" i="5" s="1"/>
  <c r="AT108" i="5"/>
  <c r="AT195" i="5" s="1"/>
  <c r="AS195" i="5"/>
  <c r="AU195" i="5"/>
  <c r="BG195" i="5"/>
  <c r="BA195" i="5"/>
  <c r="BF108" i="5"/>
  <c r="BF195" i="5" s="1"/>
  <c r="BE195" i="5"/>
  <c r="AL106" i="5"/>
  <c r="AL121" i="5" s="1"/>
  <c r="AK121" i="5"/>
  <c r="AZ105" i="5"/>
  <c r="AY195" i="5"/>
  <c r="BI195" i="5"/>
  <c r="BJ105" i="5"/>
  <c r="AN104" i="5"/>
  <c r="AN195" i="5" s="1"/>
  <c r="AM195" i="5"/>
  <c r="AI121" i="5"/>
  <c r="AJ104" i="5"/>
  <c r="AJ121" i="5" s="1"/>
  <c r="AX104" i="5"/>
  <c r="AX195" i="5" s="1"/>
  <c r="AW195" i="5"/>
  <c r="A249" i="5"/>
  <c r="A109" i="5"/>
  <c r="A62" i="5"/>
  <c r="A48" i="3"/>
  <c r="A193" i="9" l="1"/>
  <c r="A194" i="9" s="1"/>
  <c r="A114" i="9"/>
  <c r="A63" i="5"/>
  <c r="A64" i="5" s="1"/>
  <c r="A65" i="5" s="1"/>
  <c r="A78" i="3"/>
  <c r="A79" i="3" s="1"/>
  <c r="AZ195" i="5"/>
  <c r="AY205" i="5" s="1"/>
  <c r="BJ195" i="5"/>
  <c r="BI205" i="5" s="1"/>
  <c r="AO205" i="5"/>
  <c r="BG205" i="5"/>
  <c r="BA205" i="5"/>
  <c r="BE205" i="5"/>
  <c r="AS205" i="5"/>
  <c r="AU205" i="5"/>
  <c r="AW205" i="5"/>
  <c r="AM205" i="5"/>
  <c r="A251" i="5"/>
  <c r="A253" i="5" s="1"/>
  <c r="A254" i="5" s="1"/>
  <c r="A256" i="5" s="1"/>
  <c r="A257" i="5" s="1"/>
  <c r="A110" i="5"/>
  <c r="A49" i="3"/>
  <c r="A195" i="9" l="1"/>
  <c r="A115" i="9"/>
  <c r="A111" i="5"/>
  <c r="A80" i="3"/>
  <c r="A81" i="3" s="1"/>
  <c r="A66" i="5"/>
  <c r="A50" i="3"/>
  <c r="A82" i="3" l="1"/>
  <c r="A83" i="3" s="1"/>
  <c r="A84" i="3" s="1"/>
  <c r="A85" i="3" s="1"/>
  <c r="A116" i="9"/>
  <c r="A112" i="5"/>
  <c r="A113" i="5" s="1"/>
  <c r="A114" i="5" s="1"/>
  <c r="A115" i="5" s="1"/>
  <c r="A116" i="5" s="1"/>
  <c r="A67" i="5"/>
  <c r="A51" i="3"/>
  <c r="A52" i="3" s="1"/>
  <c r="A86" i="3" l="1"/>
  <c r="A87" i="3" s="1"/>
  <c r="A117" i="9"/>
  <c r="A68" i="5"/>
  <c r="A69" i="5" s="1"/>
  <c r="A70" i="5" s="1"/>
  <c r="A71" i="5" s="1"/>
  <c r="A72" i="5" s="1"/>
  <c r="A73" i="5" s="1"/>
  <c r="A74" i="5" s="1"/>
  <c r="A75" i="5" s="1"/>
  <c r="A76" i="5" s="1"/>
  <c r="A77" i="5" s="1"/>
  <c r="A78" i="5" s="1"/>
  <c r="A79" i="5" s="1"/>
  <c r="A80" i="5" s="1"/>
  <c r="A81" i="5" s="1"/>
  <c r="A82" i="5" s="1"/>
  <c r="A83" i="5" s="1"/>
  <c r="A84" i="5" s="1"/>
  <c r="A85" i="5" s="1"/>
  <c r="A86" i="5" s="1"/>
  <c r="A122" i="5"/>
  <c r="A53" i="3"/>
  <c r="A54" i="3" s="1"/>
  <c r="A88" i="3" l="1"/>
  <c r="A89" i="3" s="1"/>
  <c r="A123" i="5"/>
  <c r="A55" i="3"/>
  <c r="A56" i="3" s="1"/>
  <c r="A118" i="9" l="1"/>
  <c r="A119" i="9"/>
  <c r="A124" i="5"/>
  <c r="A125" i="5" s="1"/>
  <c r="A126" i="5" s="1"/>
  <c r="A127" i="5" s="1"/>
  <c r="A128" i="5" s="1"/>
  <c r="A129" i="5" s="1"/>
  <c r="A130" i="5" s="1"/>
  <c r="A131" i="5" s="1"/>
  <c r="A132" i="5" s="1"/>
  <c r="A133" i="5" s="1"/>
  <c r="A134" i="5" s="1"/>
  <c r="A135" i="5" s="1"/>
  <c r="A136" i="5" s="1"/>
  <c r="A137" i="5" s="1"/>
  <c r="A57" i="3"/>
  <c r="A58" i="3" s="1"/>
  <c r="A59" i="3" s="1"/>
  <c r="A121" i="9" l="1"/>
  <c r="A120" i="9"/>
  <c r="A60" i="3"/>
  <c r="A61" i="3" s="1"/>
  <c r="A125" i="9" l="1"/>
  <c r="A126" i="9" s="1"/>
  <c r="A143" i="5"/>
  <c r="A144" i="5" s="1"/>
  <c r="A145" i="5" s="1"/>
  <c r="A146" i="5" s="1"/>
  <c r="A147" i="5" s="1"/>
  <c r="A148" i="5" s="1"/>
  <c r="A149" i="5" s="1"/>
  <c r="A155" i="5" s="1"/>
  <c r="A156" i="5" s="1"/>
  <c r="A157" i="5" s="1"/>
  <c r="A158" i="5" s="1"/>
  <c r="A159" i="5" s="1"/>
  <c r="A160" i="5" s="1"/>
  <c r="A161" i="5" s="1"/>
  <c r="A162" i="5" s="1"/>
  <c r="A90" i="3"/>
  <c r="A91" i="3" s="1"/>
  <c r="A127" i="9" l="1"/>
  <c r="A128" i="9" s="1"/>
  <c r="A129" i="9" s="1"/>
  <c r="A130" i="9" s="1"/>
  <c r="A131" i="9" s="1"/>
  <c r="A132" i="9" s="1"/>
  <c r="A163" i="5"/>
  <c r="A164" i="5" s="1"/>
  <c r="A92" i="3"/>
  <c r="A93" i="3" s="1"/>
  <c r="A94" i="3" s="1"/>
  <c r="A95" i="3" s="1"/>
  <c r="A96" i="3" s="1"/>
  <c r="A97" i="3" s="1"/>
  <c r="A98" i="3" s="1"/>
  <c r="A133" i="9" l="1"/>
  <c r="A134" i="9" s="1"/>
  <c r="A135" i="9" s="1"/>
  <c r="A136" i="9" s="1"/>
  <c r="A137" i="9" s="1"/>
  <c r="A170" i="5"/>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99" i="3"/>
  <c r="A100" i="3" s="1"/>
  <c r="A138" i="9" l="1"/>
  <c r="A101" i="3"/>
  <c r="A102" i="3" s="1"/>
  <c r="A103" i="3" s="1"/>
  <c r="A139" i="9" l="1"/>
  <c r="A140" i="9" s="1"/>
  <c r="A141" i="9" s="1"/>
  <c r="A104" i="3"/>
  <c r="A105" i="3" s="1"/>
  <c r="A106" i="3" s="1"/>
  <c r="A142" i="9" l="1"/>
  <c r="A143" i="9" s="1"/>
  <c r="A144" i="9" s="1"/>
  <c r="A107" i="3"/>
  <c r="A108" i="3" s="1"/>
  <c r="A109" i="3" s="1"/>
  <c r="A110" i="3" s="1"/>
  <c r="A111" i="3" s="1"/>
  <c r="A145" i="9" l="1"/>
  <c r="A146" i="9" s="1"/>
  <c r="A147" i="9" s="1"/>
  <c r="A148" i="9" l="1"/>
  <c r="A149" i="9" s="1"/>
  <c r="B123" i="9" s="1"/>
  <c r="A151" i="9" l="1"/>
  <c r="A226" i="9" l="1"/>
  <c r="A228" i="9" s="1"/>
  <c r="A23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22" authorId="0" shapeId="0" xr:uid="{BA5ED23C-9598-45F7-8301-85B135BFD4F9}">
      <text>
        <r>
          <rPr>
            <sz val="9"/>
            <color indexed="81"/>
            <rFont val="Segoe UI"/>
            <family val="2"/>
          </rPr>
          <t>This means a detailed description of why the application is implemented and for which purpose.</t>
        </r>
      </text>
    </comment>
    <comment ref="B25" authorId="0" shapeId="0" xr:uid="{88E5DAF7-825D-4AE5-9803-624948D7147F}">
      <text>
        <r>
          <rPr>
            <sz val="9"/>
            <color indexed="81"/>
            <rFont val="Segoe UI"/>
            <family val="2"/>
          </rPr>
          <t>Include data that is fed to the AI system (including any model), but also other input processed by the application.</t>
        </r>
      </text>
    </comment>
    <comment ref="B29" authorId="0" shapeId="0" xr:uid="{16D6721B-9EEF-4D3B-A8CC-EED0794A1E2D}">
      <text>
        <r>
          <rPr>
            <sz val="9"/>
            <color indexed="81"/>
            <rFont val="Segoe UI"/>
            <family val="2"/>
          </rPr>
          <t>Meaning individuals about whom personal data is to be processed.</t>
        </r>
      </text>
    </comment>
    <comment ref="B30" authorId="0" shapeId="0" xr:uid="{FF41D990-717E-446E-8749-914E8BDF837A}">
      <text>
        <r>
          <rPr>
            <sz val="9"/>
            <color indexed="81"/>
            <rFont val="Segoe UI"/>
            <family val="2"/>
          </rPr>
          <t>Consider both input and output that your application will likely generate or otherwise process (including manual input and the model).</t>
        </r>
      </text>
    </comment>
    <comment ref="B31" authorId="0" shapeId="0" xr:uid="{200BDD02-E731-4A6A-A777-84F619D54106}">
      <text>
        <r>
          <rPr>
            <sz val="9"/>
            <color indexed="81"/>
            <rFont val="Segoe UI"/>
            <family val="2"/>
          </rPr>
          <t>Meaning those who are not already listed as data subjects, e.g., persons affected by decisions, but whose personal data are not used.</t>
        </r>
      </text>
    </comment>
    <comment ref="B32" authorId="0" shapeId="0" xr:uid="{D325A21F-F9CF-408A-8A62-5807F95BDB4A}">
      <text>
        <r>
          <rPr>
            <sz val="9"/>
            <color indexed="81"/>
            <rFont val="Segoe UI"/>
            <family val="2"/>
          </rPr>
          <t>How do you internally keep oversight of what the AI system is doing and whether it is working correctly?</t>
        </r>
      </text>
    </comment>
    <comment ref="B33" authorId="0" shapeId="0" xr:uid="{4B385B42-A50D-498F-AC0F-504659AEED40}">
      <text>
        <r>
          <rPr>
            <sz val="9"/>
            <color indexed="81"/>
            <rFont val="Segoe UI"/>
            <family val="2"/>
          </rPr>
          <t>Includes internal reporting and incident response, including for regulatory compliance.</t>
        </r>
      </text>
    </comment>
    <comment ref="B34" authorId="0" shapeId="0" xr:uid="{A9D4432A-F563-43C5-8106-68734D2961B5}">
      <text>
        <r>
          <rPr>
            <sz val="9"/>
            <color indexed="81"/>
            <rFont val="Segoe UI"/>
            <family val="2"/>
          </rPr>
          <t>Here you can focus on (classical) information security measures to protect the application; this may not be AI specific.</t>
        </r>
      </text>
    </comment>
    <comment ref="B35" authorId="0" shapeId="0" xr:uid="{5C70D7DE-9D94-4ADF-8C2B-AF18609E021E}">
      <text>
        <r>
          <rPr>
            <sz val="9"/>
            <color indexed="81"/>
            <rFont val="Segoe UI"/>
            <family val="2"/>
          </rPr>
          <t>Think of all technical steps you take to prevent things to go wrong when using AI in your case; amend later, if you come up with more measures below.</t>
        </r>
      </text>
    </comment>
    <comment ref="B36" authorId="0" shapeId="0" xr:uid="{A19B3E86-2B7B-4F5B-9360-752135ADB8B7}">
      <text>
        <r>
          <rPr>
            <sz val="9"/>
            <color indexed="81"/>
            <rFont val="Segoe UI"/>
            <family val="2"/>
          </rPr>
          <t>Think of all organizational steps (e.g., policies) you take to prevent things to go wrong when in your case; amend later, if you come up with more measures below.</t>
        </r>
      </text>
    </comment>
    <comment ref="B40" authorId="0" shapeId="0" xr:uid="{9834E555-3062-4B78-A446-14B985C0D48F}">
      <text>
        <r>
          <rPr>
            <sz val="9"/>
            <color indexed="81"/>
            <rFont val="Segoe UI"/>
            <family val="2"/>
          </rPr>
          <t>We are asking for this information in order to check whether the risks involved in your application can be justified.</t>
        </r>
      </text>
    </comment>
    <comment ref="B48" authorId="0" shapeId="0" xr:uid="{20AA4014-B970-4A90-91E3-AE2B2DBD5292}">
      <text>
        <r>
          <rPr>
            <sz val="9"/>
            <color indexed="81"/>
            <rFont val="Segoe UI"/>
            <family val="2"/>
          </rPr>
          <t>Output is relevant if it can have any influence in the "real" world or in a virtual environment. Examples of autonomous generation of output based on input is generative AI or pattern recognition based on machine learning (i.e. where the patterns are not already pre-coded in the systems' program code). If you are using a third party AI model for generating output, then the answer should be yes and your application will be considered the AI system, not the AI model.</t>
        </r>
      </text>
    </comment>
    <comment ref="B49" authorId="0" shapeId="0" xr:uid="{E89CD29C-C35A-4AB9-BC0C-16C92A416E28}">
      <text>
        <r>
          <rPr>
            <sz val="9"/>
            <color indexed="81"/>
            <rFont val="Segoe UI"/>
            <family val="2"/>
          </rPr>
          <t>Certain use cases are prohibited under the AI Act. Check whether your application is covered by one of them described in the selection.</t>
        </r>
      </text>
    </comment>
    <comment ref="B50" authorId="0" shapeId="0" xr:uid="{03505776-A262-4485-8F13-53DE0548C450}">
      <text>
        <r>
          <rPr>
            <sz val="9"/>
            <color indexed="81"/>
            <rFont val="Segoe UI"/>
            <family val="2"/>
          </rPr>
          <t>The AI Act defines a number activities when using an AI system that are qualified as "high-risk", which trigger additional obligations. You only need to consider those activities that are intended with your application, not any misuse.</t>
        </r>
      </text>
    </comment>
    <comment ref="B51" authorId="0" shapeId="0" xr:uid="{323BDE9A-7C04-4F51-BCC4-E1877F481F61}">
      <text>
        <r>
          <rPr>
            <sz val="9"/>
            <color indexed="81"/>
            <rFont val="Segoe UI"/>
            <family val="2"/>
          </rPr>
          <t>Even if your use case results in your AI system being "high-risk", you may still fall under the exception if the actual risk is low and there is no profiling (as defined by the GDPR). However, in order to rely on this exception, the provider has to document why the exception does apply.</t>
        </r>
      </text>
    </comment>
    <comment ref="B52" authorId="0" shapeId="0" xr:uid="{2A250ACA-B77B-43BD-B5FA-35A9E7094EAD}">
      <text>
        <r>
          <rPr>
            <sz val="9"/>
            <color indexed="81"/>
            <rFont val="Segoe UI"/>
            <family val="2"/>
          </rPr>
          <t>This includes for instance large language models. It does not include AI models used only for research, development or prototyping activities that are not released on the market.</t>
        </r>
      </text>
    </comment>
    <comment ref="B56" authorId="0" shapeId="0" xr:uid="{A7E60CAA-1086-4CF0-95E4-0298EB9EA662}">
      <text>
        <r>
          <rPr>
            <sz val="9"/>
            <color indexed="81"/>
            <rFont val="Segoe UI"/>
            <family val="2"/>
          </rPr>
          <t>This means that you (or someone working for you) have created at least part of the system, be it by coding the AI system from scratch, be it by amending or extending an existing system, code etc., or be it by using an AI model through its API. The mere parametrization or configuration or use of retrieval augmented generation is likely not "development", but fine-tuning of the AI model used likely is. For example, if you integrate the system of a provider that offers customer service AI chatbots on your website and integrate "their" chatbot it into your website, you have not developped the chatbot (the provider has). If you build it on your own based on sample code and amend such code, you have developped the chatbot, even if you have done so on the basis of third party code.</t>
        </r>
      </text>
    </comment>
    <comment ref="B57" authorId="0" shapeId="0" xr:uid="{DC03F6E3-4DB1-4DF7-BE0B-62435CDD8BBF}">
      <text>
        <r>
          <rPr>
            <sz val="9"/>
            <color indexed="81"/>
            <rFont val="Segoe UI"/>
            <family val="2"/>
          </rPr>
          <t>Say "yes" if you will be the first one to supply it for distribution or use (by someone else) on the EU market in the course of a commercial activity, whether in return for payment or free of charge.</t>
        </r>
      </text>
    </comment>
    <comment ref="B58" authorId="0" shapeId="0" xr:uid="{C53A5D2A-93D8-42E5-8289-DD03F10B60BC}">
      <text>
        <r>
          <rPr>
            <sz val="9"/>
            <color indexed="81"/>
            <rFont val="Segoe UI"/>
            <family val="2"/>
          </rPr>
          <t>Say "yes" if you will have supplied it for first use by a deployer (i.e. an third-party using it under its own authority) in the EU or if you will be using it yourself in the EU (for your own internal purposes or for providing a service to others). .</t>
        </r>
      </text>
    </comment>
    <comment ref="B59" authorId="0" shapeId="0" xr:uid="{80B3D765-44FB-484F-8FC3-46D0467D0F89}">
      <text>
        <r>
          <rPr>
            <sz val="9"/>
            <color indexed="81"/>
            <rFont val="Segoe UI"/>
            <family val="2"/>
          </rPr>
          <t>You do not expressly have to mention your name to qualify for a "yes", if the first supply of the system or use is attributed to you. For example, if you place the AI chatbot that your organisation has developped on your website, then you have done so under your name. This would be a "no" if you have supplied an AI system under the name of a third-party, in which case the third-party becomes responsible.</t>
        </r>
      </text>
    </comment>
    <comment ref="B60" authorId="0" shapeId="0" xr:uid="{93C8A36E-8628-4D3A-8CB7-A142BE65ECF2}">
      <text>
        <r>
          <rPr>
            <sz val="9"/>
            <color indexed="81"/>
            <rFont val="Segoe UI"/>
            <family val="2"/>
          </rPr>
          <t>This means that you are using a high-risk AI system of a third-party provider but state or suggest that it is your AI system.</t>
        </r>
      </text>
    </comment>
    <comment ref="B61" authorId="0" shapeId="0" xr:uid="{00DF95DF-4125-4584-8100-A9076561FC47}">
      <text>
        <r>
          <rPr>
            <sz val="9"/>
            <color indexed="81"/>
            <rFont val="Segoe UI"/>
            <family val="2"/>
          </rPr>
          <t>Substantial modifications mean a change to an AI system after its placing on the market or putting into service which is not foreseen or planned in the initial conformity assessment carried out by the provider and has a relevant impact on the compliance of the AI system with the requirements of the AI Act or changed the intended purpose of the AI system.</t>
        </r>
      </text>
    </comment>
    <comment ref="B62" authorId="0" shapeId="0" xr:uid="{6BCEB2E1-BB0F-4E97-AF05-08780756C2EE}">
      <text>
        <r>
          <rPr>
            <sz val="9"/>
            <color indexed="81"/>
            <rFont val="Segoe UI"/>
            <family val="2"/>
          </rPr>
          <t>For example, you are using a general purpose AI chatbot application to perform a high-risk AI activity (e.g., assessing job applicants), even though the chatbot was not provided for that purpose.</t>
        </r>
      </text>
    </comment>
    <comment ref="B63" authorId="0" shapeId="0" xr:uid="{AFFE6412-BD32-4C25-9A3C-83F6C2053F34}">
      <text>
        <r>
          <rPr>
            <sz val="9"/>
            <color indexed="81"/>
            <rFont val="Segoe UI"/>
            <family val="2"/>
          </rPr>
          <t>Placing on the market means that you will be the first one to supply it for distribution or use (by someone else) on the EU market in the course of a commercial activity, whether in return for payment or free of charge. Putting into service means supplying it for first use by a deployer (i.e. an third-party using it under its own authority) or using it oneselves in the EU (for your own internal purposes or for providing a service to others). .</t>
        </r>
      </text>
    </comment>
    <comment ref="B64" authorId="0" shapeId="0" xr:uid="{4803D6F1-C74B-4531-BF1C-345D6F5807E6}">
      <text>
        <r>
          <rPr>
            <sz val="9"/>
            <color indexed="81"/>
            <rFont val="Segoe UI"/>
            <family val="2"/>
          </rPr>
          <t>Making available on the market means to supply it for distribution or use (by someone else) on the EU market in the course of a commercial activity, whether in return for payment or free of charge.</t>
        </r>
      </text>
    </comment>
    <comment ref="B65" authorId="0" shapeId="0" xr:uid="{5EE22D50-A0B5-437C-96D0-A36A1E66542D}">
      <text>
        <r>
          <rPr>
            <sz val="9"/>
            <color indexed="81"/>
            <rFont val="Segoe UI"/>
            <family val="2"/>
          </rPr>
          <t>Placing on the market means that you will be the first one to supply it for distribution or use (by someone else) on the EU market in the course of a commercial activity, whether in return for payment or free of charge.</t>
        </r>
      </text>
    </comment>
    <comment ref="B71" authorId="0" shapeId="0" xr:uid="{2605FDFE-0119-4377-8317-C8C061E763FB}">
      <text>
        <r>
          <rPr>
            <sz val="9"/>
            <color indexed="81"/>
            <rFont val="Segoe UI"/>
            <family val="2"/>
          </rPr>
          <t>A certain degree of control is required for the criterion to be met. If you use a customer service chatbot offered by another company, you do not control it, even though you control the words you enter. It is the other company who defines how the chatbot shall respond to your input, hence it has the "authority" over it. Note that we only ask for using the AI system, not the AI model; the use of the AI model is typically considered as developping an AI system.</t>
        </r>
      </text>
    </comment>
    <comment ref="B72" authorId="0" shapeId="0" xr:uid="{AB8A9C65-B5EA-4E77-B636-A88D5391E3B4}">
      <text>
        <r>
          <rPr>
            <sz val="9"/>
            <color indexed="81"/>
            <rFont val="Segoe UI"/>
            <family val="2"/>
          </rPr>
          <t>You have a seat in the EU (including by means of a branch office).</t>
        </r>
      </text>
    </comment>
    <comment ref="B73" authorId="0" shapeId="0" xr:uid="{8D79A6DD-17F4-4EB1-8A29-3F97AF41EA97}">
      <text>
        <r>
          <rPr>
            <sz val="9"/>
            <color indexed="81"/>
            <rFont val="Segoe UI"/>
            <family val="2"/>
          </rPr>
          <t>The output covers the content covered by the AI system as well as other results determined by the AI system (e.g., if part of the application is to share AI generated text with recipients in the EU, then this is a "yes").</t>
        </r>
      </text>
    </comment>
    <comment ref="B85" authorId="0" shapeId="0" xr:uid="{05E8FF91-2D10-49F7-8752-778D1AD419DE}">
      <text>
        <r>
          <rPr>
            <sz val="9"/>
            <color indexed="81"/>
            <rFont val="Segoe UI"/>
            <family val="2"/>
          </rPr>
          <t>This also includes fine-tuning of on-prem or 3rd party models, but not adding know-how through prompts (such as with Custom GPTs or RAG techniques).</t>
        </r>
      </text>
    </comment>
    <comment ref="B86" authorId="0" shapeId="0" xr:uid="{0308A6CC-1BD7-4884-9FA3-D53E450EAD09}">
      <text>
        <r>
          <rPr>
            <sz val="9"/>
            <color indexed="81"/>
            <rFont val="Segoe UI"/>
            <family val="2"/>
          </rPr>
          <t>These could be decisions on service access, pricing, contracts, job selection, but usually not marketing decisions or decisions with no external effects.</t>
        </r>
      </text>
    </comment>
    <comment ref="B87" authorId="0" shapeId="0" xr:uid="{46EF684A-1E9B-44C6-9A7F-428C0D182F97}">
      <text>
        <r>
          <rPr>
            <sz val="9"/>
            <color indexed="81"/>
            <rFont val="Segoe UI"/>
            <family val="2"/>
          </rPr>
          <t>For example a public chatbot that may be used for health or legal information, or that is entrusted with confidential or otherwise sensitive data.</t>
        </r>
      </text>
    </comment>
    <comment ref="B88" authorId="0" shapeId="0" xr:uid="{194B3C99-DA02-4B96-875B-C6E086DAE429}">
      <text>
        <r>
          <rPr>
            <sz val="9"/>
            <color indexed="81"/>
            <rFont val="Segoe UI"/>
            <family val="2"/>
          </rPr>
          <t>Think of a competitor doing what you intend to do and feed it, e.g., with your data? Would you want the legal dept. to stop it or would you tolerate it?</t>
        </r>
      </text>
    </comment>
    <comment ref="B89" authorId="0" shapeId="0" xr:uid="{E213A6DC-70F2-4B72-9E5E-5DCFD78AC936}">
      <text>
        <r>
          <rPr>
            <sz val="9"/>
            <color indexed="81"/>
            <rFont val="Segoe UI"/>
            <family val="2"/>
          </rPr>
          <t>This is about whether what you intend is likely to cause a shitstorm in social media or otherwise because the public would consider it a no go for your company.</t>
        </r>
      </text>
    </comment>
    <comment ref="B91" authorId="0" shapeId="0" xr:uid="{BDC1D4F8-8A25-4DDA-BFD8-B3BA56A138EA}">
      <text>
        <r>
          <rPr>
            <sz val="9"/>
            <color indexed="81"/>
            <rFont val="Segoe UI"/>
            <family val="2"/>
          </rPr>
          <t>E.g., an AI tool that your customers can use with their customers, not an AI based service that you offer to support your customers interacting with you.</t>
        </r>
      </text>
    </comment>
    <comment ref="B92" authorId="0" shapeId="0" xr:uid="{F9883F02-B367-4646-9A75-433186A65B84}">
      <text>
        <r>
          <rPr>
            <sz val="9"/>
            <color indexed="81"/>
            <rFont val="Segoe UI"/>
            <family val="2"/>
          </rPr>
          <t>There is no particular threshold here; this is for those cases where you spend too much or that are too important for not doing an in-depth risk assessment.</t>
        </r>
      </text>
    </comment>
    <comment ref="D96" authorId="0" shapeId="0" xr:uid="{9091DDE3-A340-44C7-B9F8-BFC688923484}">
      <text>
        <r>
          <rPr>
            <sz val="9"/>
            <color indexed="81"/>
            <rFont val="Segoe UI"/>
            <family val="2"/>
          </rPr>
          <t>You can always overrule the recommendation if you want to be more cautious or if you believe it feels not right or is too strict and the application not really risky.</t>
        </r>
      </text>
    </comment>
    <comment ref="B104" authorId="0" shapeId="0" xr:uid="{714C585C-B350-4EB6-BC8D-EA7B3524C2D4}">
      <text>
        <r>
          <rPr>
            <sz val="9"/>
            <color indexed="81"/>
            <rFont val="Segoe UI"/>
            <family val="2"/>
          </rPr>
          <t>E.g., online, AI or cloud service providers such as OpenAI, Microsoft; not applicable to those that only license software or on-prem models.</t>
        </r>
      </text>
    </comment>
    <comment ref="B105" authorId="0" shapeId="0" xr:uid="{39184B82-90BD-4A40-9C4F-6FB4D4714E33}">
      <text>
        <r>
          <rPr>
            <sz val="9"/>
            <color indexed="81"/>
            <rFont val="Segoe UI"/>
            <family val="2"/>
          </rPr>
          <t>E.g., because the provider, its parent or subcontractors are in the US, India, etc.; do not consider end-user or your own access from abroad.</t>
        </r>
      </text>
    </comment>
    <comment ref="B106" authorId="0" shapeId="0" xr:uid="{6971E4CB-EF8C-4298-8D1E-5519B82A997B}">
      <text>
        <r>
          <rPr>
            <sz val="9"/>
            <color indexed="81"/>
            <rFont val="Segoe UI"/>
            <family val="2"/>
          </rPr>
          <t>Many providers of online AI services have such abuse monitoring or reserve the right to look into your content, including Microsoft for Azure OpenAI services.</t>
        </r>
      </text>
    </comment>
    <comment ref="B107" authorId="0" shapeId="0" xr:uid="{AB3B5A9C-8C86-4778-B140-C7414375335A}">
      <text>
        <r>
          <rPr>
            <sz val="9"/>
            <color indexed="81"/>
            <rFont val="Segoe UI"/>
            <family val="2"/>
          </rPr>
          <t>You can find out by looking at the contract (is such use is reserved?) or console, or look for a commitment that they do not use your data for training.</t>
        </r>
      </text>
    </comment>
    <comment ref="B108" authorId="0" shapeId="0" xr:uid="{FE1D81C4-7834-4522-9846-50BC7AD5F372}">
      <text>
        <r>
          <rPr>
            <sz val="9"/>
            <color indexed="81"/>
            <rFont val="Segoe UI"/>
            <family val="2"/>
          </rPr>
          <t>This may be true, e.g., for Swiss banks, health care professionals, public authorities.</t>
        </r>
      </text>
    </comment>
    <comment ref="B109" authorId="0" shapeId="0" xr:uid="{35DB87FE-A283-400F-ACBC-6FAC6ADE2E28}">
      <text>
        <r>
          <rPr>
            <sz val="9"/>
            <color indexed="81"/>
            <rFont val="Segoe UI"/>
            <family val="2"/>
          </rPr>
          <t>This refers to any information that relates to persons that can be identified directly or indirectly.</t>
        </r>
      </text>
    </comment>
    <comment ref="B110" authorId="0" shapeId="0" xr:uid="{FA3D1582-BED6-4BC7-8D19-24C9FB3F0CE7}">
      <text>
        <r>
          <rPr>
            <sz val="9"/>
            <color indexed="81"/>
            <rFont val="Segoe UI"/>
            <family val="2"/>
          </rPr>
          <t>Data you cannot freely use due to third party rights or legal obligations, e.g., 3rd party copyrighted or licensed content, 3rd party secrets under an NDA.</t>
        </r>
      </text>
    </comment>
    <comment ref="B114" authorId="0" shapeId="0" xr:uid="{911D619E-5F63-4B0F-84B4-3FC08C56AC80}">
      <text>
        <r>
          <rPr>
            <sz val="9"/>
            <color indexed="81"/>
            <rFont val="Segoe UI"/>
            <family val="2"/>
          </rPr>
          <t>This will usually be the case with popular providers, but have an expert review it (it is usually available on the provider's website); in rare cases, no DPA is needed.</t>
        </r>
      </text>
    </comment>
    <comment ref="B115" authorId="0" shapeId="0" xr:uid="{79072125-CB17-4641-BB43-373000DCBD06}">
      <text>
        <r>
          <rPr>
            <sz val="9"/>
            <color indexed="81"/>
            <rFont val="Segoe UI"/>
            <family val="2"/>
          </rPr>
          <t>A good sign is if the DPA has clauses providing for the "EU SCC" or, if the provider has ties to the US, if it is certified under the "Data Privacy Framework".</t>
        </r>
      </text>
    </comment>
    <comment ref="B116" authorId="0" shapeId="0" xr:uid="{D9201B1B-08DB-4950-81C0-EC8A0F327CF1}">
      <text>
        <r>
          <rPr>
            <sz val="9"/>
            <color indexed="81"/>
            <rFont val="Segoe UI"/>
            <family val="2"/>
          </rPr>
          <t>You will need the experts check this out; Microsoft, AWS and Google offer such clauses; some of them use a "Professional Secrecy Amendment" to do so (but even in these cases, you should have them checked).</t>
        </r>
      </text>
    </comment>
    <comment ref="B117" authorId="0" shapeId="0" xr:uid="{69521B9E-D21B-4C1E-8C7E-5671966CEED4}">
      <text>
        <r>
          <rPr>
            <sz val="9"/>
            <color indexed="81"/>
            <rFont val="Segoe UI"/>
            <family val="2"/>
          </rPr>
          <t>Depends on your content. E.g., is there an NDA? Will the provider not use your content for purposes you have no clearance for (e.g., for AI training)?</t>
        </r>
      </text>
    </comment>
    <comment ref="B118" authorId="0" shapeId="0" xr:uid="{8070C8A4-2111-4675-97C3-4E5B6DD35BF7}">
      <text>
        <r>
          <rPr>
            <sz val="9"/>
            <color indexed="81"/>
            <rFont val="Segoe UI"/>
            <family val="2"/>
          </rPr>
          <t>You usually have to list the data and the purpose for which you obtain personal data in your privacy notice; consider amending it for covering your application.</t>
        </r>
      </text>
    </comment>
    <comment ref="B119" authorId="0" shapeId="0" xr:uid="{6CAFD7D1-C66F-4FF4-B69B-45C7ABACA114}">
      <text>
        <r>
          <rPr>
            <sz val="9"/>
            <color indexed="81"/>
            <rFont val="Segoe UI"/>
            <family val="2"/>
          </rPr>
          <t>Check this out with your data protection experts / DPO; there will usually already be a process for this data protection requirement.</t>
        </r>
      </text>
    </comment>
    <comment ref="B120" authorId="0" shapeId="0" xr:uid="{F74BD42F-DE48-40E7-A839-5C2035A34A1C}">
      <text>
        <r>
          <rPr>
            <sz val="9"/>
            <color indexed="81"/>
            <rFont val="Segoe UI"/>
            <family val="2"/>
          </rPr>
          <t>In principle, providers of AI systems need to ensure that people interacting with their system are informed about this and that AI generated content is marked in a machine-readable manner. Deployers need to inform about any emotion detection and biometric categorization they do, deep fakes and if they use AI generated news/media content without editorial supervision.</t>
        </r>
      </text>
    </comment>
    <comment ref="B121" authorId="0" shapeId="0" xr:uid="{CDE891D4-0602-4D88-A132-039069D6B115}">
      <text>
        <r>
          <rPr>
            <sz val="9"/>
            <color indexed="81"/>
            <rFont val="Segoe UI"/>
            <family val="2"/>
          </rPr>
          <t>Check your company policies for audit trails and record retention obligations; you may be required under data protection law and other regulations to document how, by whom and with which result your AI solution has been used.</t>
        </r>
      </text>
    </comment>
    <comment ref="B125" authorId="0" shapeId="0" xr:uid="{CADDC9E8-E7B1-4D42-93BA-2B1C0087169B}">
      <text>
        <r>
          <rPr>
            <sz val="9"/>
            <color indexed="81"/>
            <rFont val="Segoe UI"/>
            <family val="2"/>
          </rPr>
          <t>E.g., using content as input for an AI system (e.g., training or permitting the provider to do so)in violation of our license agreement or NDA.</t>
        </r>
      </text>
    </comment>
    <comment ref="B126" authorId="0" shapeId="0" xr:uid="{004DF197-5ACA-4A91-8F58-21F9A0971108}">
      <text>
        <r>
          <rPr>
            <sz val="9"/>
            <color indexed="81"/>
            <rFont val="Segoe UI"/>
            <family val="2"/>
          </rPr>
          <t>E.g., the provider uses the input and output to the AI system also for its own purposes, such as training its model or improving the service.</t>
        </r>
      </text>
    </comment>
    <comment ref="B127" authorId="0" shapeId="0" xr:uid="{87D1D128-64D6-4FDE-9B70-82152A9B26BE}">
      <text>
        <r>
          <rPr>
            <sz val="9"/>
            <color indexed="81"/>
            <rFont val="Segoe UI"/>
            <family val="2"/>
          </rPr>
          <t>E.g., the provider checks all the AI generated output for violation with its policies, which in turn may violate our professional secrecy obligations.</t>
        </r>
      </text>
    </comment>
    <comment ref="B128" authorId="0" shapeId="0" xr:uid="{A3F45229-D41B-44C1-8B05-E72E4E207032}">
      <text>
        <r>
          <rPr>
            <sz val="9"/>
            <color indexed="81"/>
            <rFont val="Segoe UI"/>
            <family val="2"/>
          </rPr>
          <t>E.g., data used for training or input from sessions of other users by accident or by way of an attack can be retrieved by a third party using our AI application .</t>
        </r>
      </text>
    </comment>
    <comment ref="B129" authorId="0" shapeId="0" xr:uid="{68C850C3-B7A1-47E0-9BCE-5A26620CD061}">
      <text>
        <r>
          <rPr>
            <sz val="9"/>
            <color indexed="81"/>
            <rFont val="Segoe UI"/>
            <family val="2"/>
          </rPr>
          <t>E.g., a system that processes data about health, sexual preferences or political views or automatically predicts aspects of certain persons.</t>
        </r>
      </text>
    </comment>
    <comment ref="B130" authorId="0" shapeId="0" xr:uid="{3E78F9B5-7074-4E6A-B14B-95E858EA286C}">
      <text>
        <r>
          <rPr>
            <sz val="9"/>
            <color indexed="81"/>
            <rFont val="Segoe UI"/>
            <family val="2"/>
          </rPr>
          <t>E.g., the GDPR requires that for every processing there is a legal ground, such as consent, legitimate interest, legal obligation or need to perform a contract.</t>
        </r>
      </text>
    </comment>
    <comment ref="B131" authorId="0" shapeId="0" xr:uid="{84A56824-D72B-4883-AB7B-2D31F92DAD2F}">
      <text>
        <r>
          <rPr>
            <sz val="9"/>
            <color indexed="81"/>
            <rFont val="Segoe UI"/>
            <family val="2"/>
          </rPr>
          <t>E.g., we feed personal data into our AI system that was collected for another purpose, or we generate personal data for purposes we did not disclose.</t>
        </r>
      </text>
    </comment>
    <comment ref="B132" authorId="0" shapeId="0" xr:uid="{C6F08021-8C68-42F9-872C-DC038FBBEDED}">
      <text>
        <r>
          <rPr>
            <sz val="9"/>
            <color indexed="81"/>
            <rFont val="Segoe UI"/>
            <family val="2"/>
          </rPr>
          <t>E.g., we keep personal data for longer than really necessary for the purpose, or we keep it without yet knowing for which purpose we will use it later on.</t>
        </r>
      </text>
    </comment>
    <comment ref="B133" authorId="0" shapeId="0" xr:uid="{3CE27DCF-B08D-48BB-8F0C-6A054D50427C}">
      <text>
        <r>
          <rPr>
            <sz val="9"/>
            <color indexed="81"/>
            <rFont val="Segoe UI"/>
            <family val="2"/>
          </rPr>
          <t>E.g., we ask users to provide more personal data than we actually need, or we do not limit what personal data that can be generated by use of the system.</t>
        </r>
      </text>
    </comment>
    <comment ref="B134" authorId="0" shapeId="0" xr:uid="{C7F4778D-31C5-4D5B-B017-E5717B6229B0}">
      <text>
        <r>
          <rPr>
            <sz val="9"/>
            <color indexed="81"/>
            <rFont val="Segoe UI"/>
            <family val="2"/>
          </rPr>
          <t>E.g., we do not restrict access to the AI application or training or other data on a need to know basis, even though it provides access to personal data.</t>
        </r>
      </text>
    </comment>
    <comment ref="B135" authorId="0" shapeId="0" xr:uid="{123860A8-85CE-4DA7-91E9-9AE20B857F89}">
      <text>
        <r>
          <rPr>
            <sz val="9"/>
            <color indexed="81"/>
            <rFont val="Segoe UI"/>
            <family val="2"/>
          </rPr>
          <t>E.g., we can remove or correct data in our system or prevent it from being included in its output, or we can provide access to the data of a particular person as is contained in the AI system.</t>
        </r>
      </text>
    </comment>
    <comment ref="B136" authorId="0" shapeId="0" xr:uid="{64872A0E-7D06-4479-B227-AACC7C9C8EF2}">
      <text>
        <r>
          <rPr>
            <sz val="9"/>
            <color indexed="81"/>
            <rFont val="Segoe UI"/>
            <family val="2"/>
          </rPr>
          <t>E.g., the AI system is protected sufficiently well against cyber attacks, which also has been tested; in case of failure there is a backup solution.</t>
        </r>
      </text>
    </comment>
    <comment ref="B137" authorId="0" shapeId="0" xr:uid="{5906B101-1EF6-457D-9618-627147D0C1C7}">
      <text>
        <r>
          <rPr>
            <sz val="9"/>
            <color indexed="81"/>
            <rFont val="Segoe UI"/>
            <family val="2"/>
          </rPr>
          <t>E.g., job applicant should know if their application is decided upon automatically by an AI, whereas the use of AI translation usually does not require disclosure.</t>
        </r>
      </text>
    </comment>
    <comment ref="B138" authorId="0" shapeId="0" xr:uid="{02A61B09-3F86-453F-8212-C58DD14A50CC}">
      <text>
        <r>
          <rPr>
            <sz val="9"/>
            <color indexed="81"/>
            <rFont val="Segoe UI"/>
            <family val="2"/>
          </rPr>
          <t>E.g., we use an AI system to determine the individual price that each customer is willing to pay, as opposed to using AI to better target customers with online ads.</t>
        </r>
      </text>
    </comment>
    <comment ref="B139" authorId="0" shapeId="0" xr:uid="{EB10AD74-8E50-4F82-BB11-3CE0EBE2092C}">
      <text>
        <r>
          <rPr>
            <sz val="9"/>
            <color indexed="81"/>
            <rFont val="Segoe UI"/>
            <family val="2"/>
          </rPr>
          <t>E.g., measures to deal with possible hallucination; LLMs that have been trained on wrong or biased data; lack of quality control of both the input and output.</t>
        </r>
      </text>
    </comment>
    <comment ref="B140" authorId="0" shapeId="0" xr:uid="{B14FED09-9B05-4383-A45A-E48FD3404D5E}">
      <text>
        <r>
          <rPr>
            <sz val="9"/>
            <color indexed="81"/>
            <rFont val="Segoe UI"/>
            <family val="2"/>
          </rPr>
          <t>E.g., to determine the quality of the model, the prompting, the quality control, and intentional misuses (e.g., by malicious prompts); "red teaming".</t>
        </r>
      </text>
    </comment>
    <comment ref="B141" authorId="0" shapeId="0" xr:uid="{3A2D2B9A-0442-4AA7-9383-A565943C0ECB}">
      <text>
        <r>
          <rPr>
            <sz val="9"/>
            <color indexed="81"/>
            <rFont val="Segoe UI"/>
            <family val="2"/>
          </rPr>
          <t>E.g., where the results of the AI system (which can be wrong) have an impact on decisions, on the denial or offering of services, or what is disclosed to others.</t>
        </r>
      </text>
    </comment>
    <comment ref="B142" authorId="0" shapeId="0" xr:uid="{4E0F5CBB-3CA6-4BE1-8471-798201D595F0}">
      <text>
        <r>
          <rPr>
            <sz val="9"/>
            <color indexed="81"/>
            <rFont val="Segoe UI"/>
            <family val="2"/>
          </rPr>
          <t>E.g., where AI systems could be viewed as being used "against" employees, children, patients, elderly or disabled people, or where people cannot object.</t>
        </r>
      </text>
    </comment>
    <comment ref="B143" authorId="0" shapeId="0" xr:uid="{0CC59020-D21D-49F0-8266-36F23E54385E}">
      <text>
        <r>
          <rPr>
            <sz val="9"/>
            <color indexed="81"/>
            <rFont val="Segoe UI"/>
            <family val="2"/>
          </rPr>
          <t>E.g., where an AI takes decisions on contractual issues, commercial terms, the offering of jobs or services, with no or only limited human oversight.</t>
        </r>
      </text>
    </comment>
    <comment ref="B144" authorId="0" shapeId="0" xr:uid="{83531497-B84F-4423-9B88-468607096ABE}">
      <text>
        <r>
          <rPr>
            <sz val="9"/>
            <color indexed="81"/>
            <rFont val="Segoe UI"/>
            <family val="2"/>
          </rPr>
          <t>E.g., use of a general purpose LLM such as GPT for which there is plenty of experience on the market, as opposed to one with no no real experience or info.</t>
        </r>
      </text>
    </comment>
    <comment ref="B145" authorId="0" shapeId="0" xr:uid="{7974B3AB-8F20-4A4F-8E0C-A3ED19ABA1EB}">
      <text>
        <r>
          <rPr>
            <sz val="9"/>
            <color indexed="81"/>
            <rFont val="Segoe UI"/>
            <family val="2"/>
          </rPr>
          <t>E.g., because people believe they are dealing with a human, or because the AI system could trick people in trusting in advice that is not trustworthy.</t>
        </r>
      </text>
    </comment>
    <comment ref="B146" authorId="0" shapeId="0" xr:uid="{5B407F42-7286-4282-B6D6-0806B14A7854}">
      <text>
        <r>
          <rPr>
            <sz val="9"/>
            <color indexed="81"/>
            <rFont val="Segoe UI"/>
            <family val="2"/>
          </rPr>
          <t>E.g., an obligation to report malfunctions or other issues, a log of such issues and a team dealing with them, as opposed to a "fire-and-forget" product launch.</t>
        </r>
      </text>
    </comment>
    <comment ref="B147" authorId="0" shapeId="0" xr:uid="{72EB03C0-8AEB-411A-9CEE-2439C65B807C}">
      <text>
        <r>
          <rPr>
            <sz val="9"/>
            <color indexed="81"/>
            <rFont val="Segoe UI"/>
            <family val="2"/>
          </rPr>
          <t>E.g., forcing people to submit to an AI system where they want to deal with a human; an AI system that may communicate in an inadequate manner.</t>
        </r>
      </text>
    </comment>
    <comment ref="B148" authorId="0" shapeId="0" xr:uid="{43303568-FA10-459D-814E-C7D2C24EF274}">
      <text>
        <r>
          <rPr>
            <sz val="9"/>
            <color indexed="81"/>
            <rFont val="Segoe UI"/>
            <family val="2"/>
          </rPr>
          <t>E.g., employees know how to use the system, what its limits are, how to deal with them, how to react in case of problems; same for 3rd party users, if applicable.</t>
        </r>
      </text>
    </comment>
    <comment ref="B149" authorId="0" shapeId="0" xr:uid="{E4E7F588-CEC5-4470-A88F-BC55CAF8ECD3}">
      <text>
        <r>
          <rPr>
            <sz val="9"/>
            <color indexed="81"/>
            <rFont val="Segoe UI"/>
            <family val="2"/>
          </rPr>
          <t>E.g., where the provider on which we rely for the application changes its service without advance warning in a manner that has a negative impact.</t>
        </r>
      </text>
    </comment>
    <comment ref="B151" authorId="0" shapeId="0" xr:uid="{8A9A663F-ECFC-45DC-B14E-B2119BCCCD21}">
      <text>
        <r>
          <rPr>
            <sz val="9"/>
            <color indexed="81"/>
            <rFont val="Segoe UI"/>
            <family val="2"/>
          </rPr>
          <t>This will typically be a value between 0.5 and 3 years, as this is a rapidly changing field; after that time, the present risk assessment should be repeated.</t>
        </r>
      </text>
    </comment>
    <comment ref="B159" authorId="0" shapeId="0" xr:uid="{7AA30E4A-4504-4601-AB40-898D72B5C6C6}">
      <text>
        <r>
          <rPr>
            <sz val="9"/>
            <color indexed="81"/>
            <rFont val="Segoe UI"/>
            <family val="2"/>
          </rPr>
          <t>On a large scale usually means several hundreds or thousands of records, and not just coincidentially (unless the volume is high).</t>
        </r>
      </text>
    </comment>
    <comment ref="B160" authorId="0" shapeId="0" xr:uid="{FEFC9077-AF6C-4374-8088-8BC826A2089F}">
      <text>
        <r>
          <rPr>
            <sz val="9"/>
            <color indexed="81"/>
            <rFont val="Segoe UI"/>
            <family val="2"/>
          </rPr>
          <t>For example if we are your CCTV systems for security.</t>
        </r>
      </text>
    </comment>
    <comment ref="B161" authorId="0" shapeId="0" xr:uid="{61787FAD-27F3-47F3-8292-0028A7E7605B}">
      <text>
        <r>
          <rPr>
            <sz val="9"/>
            <color indexed="81"/>
            <rFont val="Segoe UI"/>
            <family val="2"/>
          </rPr>
          <t>This also applies to cases where you use the AI solution only to prepare decisions ultimately made by humans.</t>
        </r>
      </text>
    </comment>
    <comment ref="B162" authorId="0" shapeId="0" xr:uid="{9F89BDF4-5FB2-4707-9D98-F1C2144AA072}">
      <text>
        <r>
          <rPr>
            <sz val="9"/>
            <color indexed="81"/>
            <rFont val="Segoe UI"/>
            <family val="2"/>
          </rPr>
          <t>For instance, if an AI solution is used to generate content that relates to a particular individual and is of high relevance on how that individual is treated. Hence, if the system generates wrong information and this could result in problems for the individual, then this is a "Yes", even if there is human oversight.</t>
        </r>
      </text>
    </comment>
    <comment ref="B163" authorId="0" shapeId="0" xr:uid="{8374AA83-BB1A-45A1-B2A8-F56C8C4811FE}">
      <text>
        <r>
          <rPr>
            <sz val="9"/>
            <color indexed="81"/>
            <rFont val="Segoe UI"/>
            <family val="2"/>
          </rPr>
          <t>Consider not only classical information security attacks, but also attacks misusing the specific features of AI systems and models such as poisoning and prompt injection attacks.</t>
        </r>
      </text>
    </comment>
    <comment ref="B164" authorId="0" shapeId="0" xr:uid="{E20CBE55-DB9C-4AC8-8467-B3DA99CDB634}">
      <text>
        <r>
          <rPr>
            <sz val="9"/>
            <color indexed="81"/>
            <rFont val="Segoe UI"/>
            <family val="2"/>
          </rPr>
          <t>Think about the kind of data used, the errors that could occur, the purpose for which the AI solution is used and ask yourself whether the use of the AI solution could likely result in a significant damage for the persons affected, not considering the counter-measures you will take.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22" authorId="0" shapeId="0" xr:uid="{A9F46CEA-2EA9-4D19-941E-34B753EEBD82}">
      <text>
        <r>
          <rPr>
            <sz val="9"/>
            <color indexed="81"/>
            <rFont val="Segoe UI"/>
            <family val="2"/>
          </rPr>
          <t>Hier beschreiben Sie im Detail, warum die Anwendung implementiert wird und zu welchem Zweck.</t>
        </r>
      </text>
    </comment>
    <comment ref="B25" authorId="0" shapeId="0" xr:uid="{DF13EB8E-B3C1-4CE0-8731-BF316619AD9E}">
      <text>
        <r>
          <rPr>
            <sz val="9"/>
            <color indexed="81"/>
            <rFont val="Segoe UI"/>
            <family val="2"/>
          </rPr>
          <t>Fügen Sie Daten ein, die dem KI-System zugeführt werden (einschliesslich jedes Modells), aber auch andere Eingaben, die von der Anwendung verarbeitet werden.</t>
        </r>
      </text>
    </comment>
    <comment ref="B29" authorId="0" shapeId="0" xr:uid="{3C46D44F-FFC4-47BE-A07B-6786F3EFC59C}">
      <text>
        <r>
          <rPr>
            <sz val="9"/>
            <color indexed="81"/>
            <rFont val="Segoe UI"/>
            <family val="2"/>
          </rPr>
          <t>Gemeint sind die Personen, über die personenbezogene Daten verarbeitet werden sollen.</t>
        </r>
      </text>
    </comment>
    <comment ref="B30" authorId="0" shapeId="0" xr:uid="{23DBB830-1AC9-4658-B822-3F36819C262F}">
      <text>
        <r>
          <rPr>
            <sz val="9"/>
            <color indexed="81"/>
            <rFont val="Segoe UI"/>
            <family val="2"/>
          </rPr>
          <t>Denken Sie sowohl an den Input als auch an den Output, den Ihre Anwendung wahrscheinlich generieren oder anderweitig verarbeiten wird (einschliesslich manueller Input und den Inhalten, die aus dem Modell stammen).</t>
        </r>
      </text>
    </comment>
    <comment ref="B31" authorId="0" shapeId="0" xr:uid="{AD75CA80-FBE4-4825-8EFD-8F4D2D92BB29}">
      <text>
        <r>
          <rPr>
            <sz val="9"/>
            <color indexed="81"/>
            <rFont val="Segoe UI"/>
            <family val="2"/>
          </rPr>
          <t>Hier geht es um jene, die noch nicht als betroffene Personen aufgeführt sind, z.B. Personen, die von Entscheidungen betroffen sind, deren personenbezogene Daten jedoch nicht verwendet werden.</t>
        </r>
      </text>
    </comment>
    <comment ref="B32" authorId="0" shapeId="0" xr:uid="{FD945EDF-5385-49F9-BF75-DA55621882E4}">
      <text>
        <r>
          <rPr>
            <sz val="9"/>
            <color indexed="81"/>
            <rFont val="Segoe UI"/>
            <family val="2"/>
          </rPr>
          <t>Wie behalten Sie intern den Überblick darüber, was das KI-System tut und ob sie korrekt funktioniert?</t>
        </r>
      </text>
    </comment>
    <comment ref="B33" authorId="0" shapeId="0" xr:uid="{31DD8644-5404-47D2-A0EA-8CBB461C90A1}">
      <text>
        <r>
          <rPr>
            <sz val="9"/>
            <color indexed="81"/>
            <rFont val="Segoe UI"/>
            <family val="2"/>
          </rPr>
          <t>Beinhaltet interne Berichterstattung und Reaktion auf Vorfälle, einschliesslich der Einhaltung von Vorschriften.</t>
        </r>
      </text>
    </comment>
    <comment ref="B34" authorId="0" shapeId="0" xr:uid="{09976291-D18F-450B-9E1C-DFE7A23E943D}">
      <text>
        <r>
          <rPr>
            <sz val="9"/>
            <color indexed="81"/>
            <rFont val="Segoe UI"/>
            <family val="2"/>
          </rPr>
          <t>Hier können Sie sich auf (klassische) Massnahmen zur Informationssicherheit konzentrieren, um die Anwendung zu schützen; dies muss nicht spezifisch für KI sein.</t>
        </r>
      </text>
    </comment>
    <comment ref="B35" authorId="0" shapeId="0" xr:uid="{E57D77C0-0B4E-4AFA-9C99-15F4F21A458C}">
      <text>
        <r>
          <rPr>
            <sz val="9"/>
            <color indexed="81"/>
            <rFont val="Segoe UI"/>
            <family val="2"/>
          </rPr>
          <t>Hier geht es um technische Vorkehrungen, die Sie unternehmen, um Probleme bei der Verwendung von KI in Ihrem Fall zu verhindern; ergänzen Sie die Liste auch später, falls Ihnen weitere Massnahmen einfallen.</t>
        </r>
      </text>
    </comment>
    <comment ref="B36" authorId="0" shapeId="0" xr:uid="{0ED5232D-DE4B-4DFF-A79C-B468006F3D3F}">
      <text>
        <r>
          <rPr>
            <sz val="9"/>
            <color indexed="81"/>
            <rFont val="Segoe UI"/>
            <family val="2"/>
          </rPr>
          <t>Hier geht es um organisatorische Massnahmen (z.B. Erlass von Richtlinien), die Sie ergreifen, um zu verhindern, dass Dinge im Rahmen Ihrer Anwendung schiefgehen; ergänzen Sie diese Liste auch später, falls Ihnen weitere Massnahmen einfallen.</t>
        </r>
      </text>
    </comment>
    <comment ref="B40" authorId="0" shapeId="0" xr:uid="{1CC3006C-A1B2-451A-B2AA-4036C986959C}">
      <text>
        <r>
          <rPr>
            <sz val="9"/>
            <color indexed="81"/>
            <rFont val="Segoe UI"/>
            <family val="2"/>
          </rPr>
          <t>Diese Angaben dienen dazu zu prüfen, ob die mit ihrer Anwendung verbundenen Risiken entsprechend gerechtfertigt sind.</t>
        </r>
      </text>
    </comment>
    <comment ref="B48" authorId="0" shapeId="0" xr:uid="{0451C9C9-F7CA-4BA9-9FAF-460A125089D8}">
      <text>
        <r>
          <rPr>
            <sz val="9"/>
            <color indexed="81"/>
            <rFont val="Segoe UI"/>
            <family val="2"/>
          </rPr>
          <t>Der Output wird relevant, wenn er einen Einfluss in der "realen" Welt oder in einer virtuellen Umgebung haben kann. Beispiele für die ganz oder teilweise autonome Generierung von Output basierend auf einem bestimmten Input sind generative KI oder Systeme mit Mustererkennung basierend auf maschinellem Lernen (d.h., wo die Muster nicht bereits im Programmcode des Systems vorprogrammiert sind). Wenn Sie ein vorgefertigtes KI-Modell zur Generierung von Ausgaben verwenden, dann wird die Antwort hier "ja" sein, und Ihre Anwendung (und nicht das KI-Modell) wird als das KI-System gelten.</t>
        </r>
      </text>
    </comment>
    <comment ref="B49" authorId="0" shapeId="0" xr:uid="{4699C941-9387-4EEB-AC74-E5499CC1FF06}">
      <text>
        <r>
          <rPr>
            <sz val="9"/>
            <color indexed="81"/>
            <rFont val="Segoe UI"/>
            <family val="2"/>
          </rPr>
          <t>Bestimmte Anwendungen sind nach dem AI Act verboten. Überprüfen Sie, ob Ihre Anwendung von einem der darin beschriebenen Fälle erfasst ist.</t>
        </r>
      </text>
    </comment>
    <comment ref="B50" authorId="0" shapeId="0" xr:uid="{6C845277-8EFF-42EE-ACF7-505A734FD9E9}">
      <text>
        <r>
          <rPr>
            <sz val="9"/>
            <color indexed="81"/>
            <rFont val="Segoe UI"/>
            <family val="2"/>
          </rPr>
          <t>Das KI-Gesetz definiert eine Reihe von Aktivitäten beim Einsatz eines KI-Systems, die als "hochriskant" eingestuft werden und zusätzliche Verpflichtungen auslösen. Sie müssen nur jene Aktivitäten berücksichtigen, die mit Ihrer Anwendung beabsichtigt sind, nicht etwaigen Missbrauch.</t>
        </r>
      </text>
    </comment>
    <comment ref="B51" authorId="0" shapeId="0" xr:uid="{24368C18-91F2-4507-9CC4-9E6329D63435}">
      <text>
        <r>
          <rPr>
            <sz val="9"/>
            <color indexed="81"/>
            <rFont val="Segoe UI"/>
            <family val="2"/>
          </rPr>
          <t>Auch wenn Ihr Anwendungsfall dazu führt, dass Ihr KI-System aufgrund der definierten Fälle als "hochriskant" eingestuft wird, können Sie dennoch unter eine Ausnahme fallen, wenn das tatsächliche Risiko gering ist und kein Profiling (im Sinne der DSGVO) betrieben wird. Um sich jedoch auf diese Ausnahme berufen zu dürfen, muss der Anbieter die Gründe für die Geltung der Ausnahme dokumentieren.</t>
        </r>
      </text>
    </comment>
    <comment ref="B52" authorId="0" shapeId="0" xr:uid="{D5768906-4EC7-4472-9F7E-549399889851}">
      <text>
        <r>
          <rPr>
            <sz val="9"/>
            <color indexed="81"/>
            <rFont val="Segoe UI"/>
            <family val="2"/>
          </rPr>
          <t>Dies umfasst beispielsweise Large Language Models (LLM). Es schliesst jedoch KI-Modelle aus, die nur für Forschungs-, Entwicklungs- oder Prototyping-Aktivitäten verwendet und nicht auf den Markt gebracht werden.</t>
        </r>
      </text>
    </comment>
    <comment ref="B56" authorId="0" shapeId="0" xr:uid="{087DB39A-5545-4DDD-BF70-EF1C522B7FEA}">
      <text>
        <r>
          <rPr>
            <sz val="9"/>
            <color indexed="81"/>
            <rFont val="Segoe UI"/>
            <family val="2"/>
          </rPr>
          <t>Das bedeutet, dass Sie (oder jemand, der für Sie arbeitet) zumindest einen Teil des KI-Systems erstellt hatsei es durch das Programmieren des KI-Systems von Grund auf, sei es durch das Ändern oder Erweitern eines bestehenden Systems, dessen Programmcodes etc., oder sei es durch die Nutzung eines KI-Modells über dessen API. Die blosse Parametrisierung oder Konfiguration oder Nutzung der Retrieval-Augmented-Generation-Technik gilt mutmasslich noch nicht als ein "Entwickeln", aber das Fine-Tuning eines KI-Modells zählt vermutlich dazu. Wenn Sie z.B. den Chatbot eines Providers, welcher Kundenservice-KI-Chatbots anbietet, auf Ihrer Website implementieren, haben Sie den Chatbot nicht selbst entwickelt (der Anbieter hat es). Wenn Sie den Chatbot jedoch auf der Grundlage von Mustercode im Internet selbst erstellt haben und vorhandenen Code für Ihre Zwecke anpassen, wird dies vermutlich als "Entwickeln" gelten, selbst wenn Sie dies auf der Grundlage von Code tun, den ursprünglich andere geschrieben haben.</t>
        </r>
      </text>
    </comment>
    <comment ref="B57" authorId="0" shapeId="0" xr:uid="{49C7D20C-5377-4BB1-AABB-D03D41ED7F4C}">
      <text>
        <r>
          <rPr>
            <sz val="9"/>
            <color indexed="81"/>
            <rFont val="Segoe UI"/>
            <family val="2"/>
          </rPr>
          <t>Wählen Sie hier "Ja", falls Sie der erste sein werden, der das KI-System für den Vertrieb oder die Verwendung (durch jemand anderen) auf dem EU-Markt bringen (egal ob gegen Bezahlung oder kostenlos) und Sie dies im Rahmen einer kommerziellen Tätigkeit tun.</t>
        </r>
      </text>
    </comment>
    <comment ref="B58" authorId="0" shapeId="0" xr:uid="{AB3559C7-3631-48C2-AA25-242CAE66894A}">
      <text>
        <r>
          <rPr>
            <sz val="9"/>
            <color indexed="81"/>
            <rFont val="Segoe UI"/>
            <family val="2"/>
          </rPr>
          <t>Wählen Sie "Ja", wenn Sie es sein werden, der das System Betreibern in der EU (d.h. geschäftlichen Nutzern, die das System unter ihrer eigenen Verantwortung verwenden) für deren Erstgebrauch bereitstellt oder Sie es in der EU selbst verwenden werden (für Ihre eigenen internen Zwecke oder um anderen einen Dienst zu erbringen).</t>
        </r>
      </text>
    </comment>
    <comment ref="B59" authorId="0" shapeId="0" xr:uid="{2C6B421B-6ACE-4F18-9C92-DC5A72F02718}">
      <text>
        <r>
          <rPr>
            <sz val="9"/>
            <color indexed="81"/>
            <rFont val="Segoe UI"/>
            <family val="2"/>
          </rPr>
          <t>Es genügt für ein "Ja", wenn die erste Nutzung des Systems in der EU Ihnen zugeschrieben wird, auch wenn Sie Ihren Namen oder Ihr Markenzeichen nicht ausdrücklich angegeben haben. 
Wenn Sie z.B. den von Ihrer Organisation entwickelten KI-Chatbot auf Ihrer eigenen Website platzieren, dann haben Sie bereits unter Ihrem Namen gehandelt. Wenn Sie hingegen ein KI-System unter dem Namen eines Dritten bereitgestellt haben, und somit dieser Dritte verantwortlich ist, sollten Sie hier ein "Nein" angeben..</t>
        </r>
      </text>
    </comment>
    <comment ref="B60" authorId="0" shapeId="0" xr:uid="{5D320A20-FD89-4E1A-B8FC-779D1E079124}">
      <text>
        <r>
          <rPr>
            <sz val="9"/>
            <color indexed="81"/>
            <rFont val="Segoe UI"/>
            <family val="2"/>
          </rPr>
          <t>Das bedeutet, dass Sie ein Hoch-Risiko-KI-System eines Drittanbieters verwenden, aber angeben oder den Eindruck erwecken, dass es Ihr eigenes KI-System ist.</t>
        </r>
      </text>
    </comment>
    <comment ref="B61" authorId="0" shapeId="0" xr:uid="{5AC45C93-D825-4F73-9AC0-61C0607D1B73}">
      <text>
        <r>
          <rPr>
            <sz val="9"/>
            <color indexed="81"/>
            <rFont val="Segoe UI"/>
            <family val="2"/>
          </rPr>
          <t>Wesentliche Änderungen bedeuten eine Änderung an einem KI-System nach dessen Inverkehrbringen oder Inbetriebnahme, die in der ursprünglichen Konformitätsbewertung durch den Anbieter nicht vorgesehen oder geplant war und einen relevanten Einfluss auf die Einhaltung der Anforderungen des KI-Gesetzes durch das KI-System hat oder den vorgesehenen Zweck des KI-Systems ändert.</t>
        </r>
      </text>
    </comment>
    <comment ref="B62" authorId="0" shapeId="0" xr:uid="{FF8C7E0F-9E4C-4F17-A4C2-AEF5C53A1E13}">
      <text>
        <r>
          <rPr>
            <sz val="9"/>
            <color indexed="81"/>
            <rFont val="Segoe UI"/>
            <family val="2"/>
          </rPr>
          <t>Zum Beispiel wenn Sie Sie eine Allzweck-KI-Chatbot-Lösung benutzen, um eine hochriskante KI-Aktivität durchzuführen (z.B. die Bewertung von Stellenbewerbern) obwohl der Chatbot nicht für diesen Zweck bereitgestellt worden ist.</t>
        </r>
      </text>
    </comment>
    <comment ref="B63" authorId="0" shapeId="0" xr:uid="{DE1B08C5-2F02-4AEE-8E80-C842E12E6BB8}">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 Inbetriebnahme bedeutet, das System für den Erstgebrauch durch einen Betreiber (d.h. einen Dritten, der es unter eigener Verantwortung nutzt) zu liefern oder es selbst in der EU zu nutzen (für eigene interne Zwecke oder zur Erbringung einer Dienstleistung für andere).</t>
        </r>
      </text>
    </comment>
    <comment ref="B64" authorId="0" shapeId="0" xr:uid="{F33927A0-5534-4CC7-9379-067A8A2ED124}">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t>
        </r>
      </text>
    </comment>
    <comment ref="B65" authorId="0" shapeId="0" xr:uid="{E5F23731-B9AC-474A-B261-B1088D28B2C6}">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t>
        </r>
      </text>
    </comment>
    <comment ref="B71" authorId="0" shapeId="0" xr:uid="{9D8B1529-08D7-418C-BDF4-340BE3691F1D}">
      <text>
        <r>
          <rPr>
            <sz val="9"/>
            <color indexed="81"/>
            <rFont val="Segoe UI"/>
            <family val="2"/>
          </rPr>
          <t>Ein gewisses Mass an Kontrolle über das KI-System wird hier verlangt werden können, damit das Kriterium erfüllt ist. Wenn Sie als Anwender den Kundenservice-Chatbot auf einer fremden Website benutzen, haben Sie keine Kontrolle über diesen, auch wenn Sie es sind, der die Wörter kontrollieren, die Sie eintippen und damit den Output des Chatbot steuern. Es ist vielmehr das betreffende Unternehmen, das definiert, wie der Chatbot auf Ihre Eingabe reagieren soll. Daher hat dieses die Verantwortung über den Chatbot. Beachten Sie, dass hier nur nach der Verwendung des KI-Systems gefragt wird, nicht des KI-Modells; die Verwendung eines KI-Modells wird unter dem AI Act grundsätzlich als Entwicklung eines KI-Systems betrachtet.</t>
        </r>
      </text>
    </comment>
    <comment ref="B72" authorId="0" shapeId="0" xr:uid="{C1AF473D-858F-4E7F-B765-48F45805A10B}">
      <text>
        <r>
          <rPr>
            <sz val="9"/>
            <color indexed="81"/>
            <rFont val="Segoe UI"/>
            <family val="2"/>
          </rPr>
          <t>Das Unternehmen hat einen Sitz in der EU; das kann auch eine Zweigniederlassung sein.</t>
        </r>
      </text>
    </comment>
    <comment ref="B73" authorId="0" shapeId="0" xr:uid="{5272AC93-FC26-489F-9D9F-C33FAAA54CC8}">
      <text>
        <r>
          <rPr>
            <sz val="9"/>
            <color indexed="81"/>
            <rFont val="Segoe UI"/>
            <family val="2"/>
          </rPr>
          <t>Der Output meint den vom KI-System erzeugte Inhalt sowie andere Ergebnisse, zu welchen das KI-System gekommen ist (wenn z.B. im Rahmen der Anwendung KI-generierter Text auch für Empfänger in der EU bestimmt sein wird, dann ist hier ein "Ja" zu wählen).</t>
        </r>
      </text>
    </comment>
    <comment ref="B85" authorId="0" shapeId="0" xr:uid="{45B2BA56-3053-4555-8DB7-477B4DA95E8F}">
      <text>
        <r>
          <rPr>
            <sz val="9"/>
            <color indexed="81"/>
            <rFont val="Segoe UI"/>
            <family val="2"/>
          </rPr>
          <t>Dies umfasst auch das Fine Tuning von On-Prem-Modellen oder solchen, die Provider betreiben, nicht jedoch das Hinzufügen von Know-how über Prompts oder vergleichbaren Input (wie bei Custom GPTs oder RAG-Techniken).</t>
        </r>
      </text>
    </comment>
    <comment ref="B86" authorId="0" shapeId="0" xr:uid="{BA3B9DD3-7191-40E5-A080-DDDEA14DECA1}">
      <text>
        <r>
          <rPr>
            <sz val="9"/>
            <color indexed="81"/>
            <rFont val="Segoe UI"/>
            <family val="2"/>
          </rPr>
          <t>Gemeint sind beispielsweise Entscheide über den Zugang zu Dienstleistungen, Preisgestaltung, Verträge, Jobauswahl; in der Regel nicht gemeint sind Entscheide im Bereich Marketing oder Entscheide, die sich nicht betriebsextern auswirken.</t>
        </r>
      </text>
    </comment>
    <comment ref="B87" authorId="0" shapeId="0" xr:uid="{500A49AB-8294-44AF-9211-71574095BDF8}">
      <text>
        <r>
          <rPr>
            <sz val="9"/>
            <color indexed="81"/>
            <rFont val="Segoe UI"/>
            <family val="2"/>
          </rPr>
          <t>Zum Beispiel ein öffentlicher Chatbot, der für Gesundheits- oder Rechtsinformationen verwendet werden kann oder dem vertrauliche oder anderweitig sensible Daten anvertraut werden.</t>
        </r>
      </text>
    </comment>
    <comment ref="B88" authorId="0" shapeId="0" xr:uid="{F4DE5B66-B4EB-4744-A614-796F3D98BAF9}">
      <text>
        <r>
          <rPr>
            <sz val="9"/>
            <color indexed="81"/>
            <rFont val="Segoe UI"/>
            <family val="2"/>
          </rPr>
          <t>Stellen Sie sich vor, ein Konkurrent tut, was Sie vorhaben, und füttert es z.B. mit Ihren Daten. Würden Sie wollen, dass die Rechtsabteilung das Unterfangen stoppt oder aber würden Sie es tolerieren?</t>
        </r>
      </text>
    </comment>
    <comment ref="B89" authorId="0" shapeId="0" xr:uid="{80877BC5-D9FF-4C4A-9E97-246692D993A9}">
      <text>
        <r>
          <rPr>
            <sz val="9"/>
            <color indexed="81"/>
            <rFont val="Segoe UI"/>
            <family val="2"/>
          </rPr>
          <t>Es geht darum, ob das, was Sie vorhaben, wahrscheinlich einen Shitstorm in den sozialen Medien oder anderswo auslösen wird, weil die Öffentlichkeit es für ein No-Go in Bezug auf Ihr Unternehmen halten würde.</t>
        </r>
      </text>
    </comment>
    <comment ref="B91" authorId="0" shapeId="0" xr:uid="{D9703DEF-6C80-4A91-ABEA-D4439432DD00}">
      <text>
        <r>
          <rPr>
            <sz val="9"/>
            <color indexed="81"/>
            <rFont val="Segoe UI"/>
            <family val="2"/>
          </rPr>
          <t>Beispielsweise ein KI-Tool, das Ihre Kunden ihrerseits mit oder für deren Kunden verwenden können; nicht gemeint ist ein KI-basierter Dienst, den Sie anbieten, der Ihre eigenen Kunden in der Interaktion mit Ihnen unterstützt.</t>
        </r>
      </text>
    </comment>
    <comment ref="B92" authorId="0" shapeId="0" xr:uid="{1A211162-F5B8-4ECE-838A-052A620424AE}">
      <text>
        <r>
          <rPr>
            <sz val="9"/>
            <color indexed="81"/>
            <rFont val="Segoe UI"/>
            <family val="2"/>
          </rPr>
          <t>Es gibt hier keine spezielle Mindestschwelle; wählen Sie hier ein "Ja" in jenen Fällen, in denen eine Anwendung so kostspielig ist oder sonst zu wichtig sind, um nicht einer gründlichen Risikobewertung unterzogen zu werden.</t>
        </r>
      </text>
    </comment>
    <comment ref="D96" authorId="0" shapeId="0" xr:uid="{B060B094-1266-4032-B88A-BF100B9973A6}">
      <text>
        <r>
          <rPr>
            <sz val="9"/>
            <color indexed="81"/>
            <rFont val="Segoe UI"/>
            <family val="2"/>
          </rPr>
          <t>Sie müssen sich nicht an die Empfehlung halten, falls Sie vorsichtiger sein möchten oder wenn Sie im Gegenteil der Ansicht sind, dass sie sich nicht passt oder zu streng ist und die Anwendung nicht wirklich riskant ist.</t>
        </r>
      </text>
    </comment>
    <comment ref="B104" authorId="0" shapeId="0" xr:uid="{68C9A01F-3D9A-4C34-912B-7ACA773A1248}">
      <text>
        <r>
          <rPr>
            <sz val="9"/>
            <color indexed="81"/>
            <rFont val="Segoe UI"/>
            <family val="2"/>
          </rPr>
          <t>Zum Beispiel Online-, KI- oder Cloud-Provider wie OpenAI oder Microsoft; nicht gemeint sind Provider, die Ihnen lediglich Software lizenzieren oder Modelle zum On-Prem-Einsatz zugänglich machen.</t>
        </r>
      </text>
    </comment>
    <comment ref="B105" authorId="0" shapeId="0" xr:uid="{AA9F5B71-46C4-4286-A21C-E2DFE38ECF19}">
      <text>
        <r>
          <rPr>
            <sz val="9"/>
            <color indexed="81"/>
            <rFont val="Segoe UI"/>
            <family val="2"/>
          </rPr>
          <t>Das könnte beispielsweise der Fall sein, wenn Sie einen Provider einsetzen, dessen Muttergesellschaft oder Subunternehmer sich in den USA, Indien usw. befinden; berücksichtigen Sie nicht den Zugriff von Endbenutzern hier nicht relevant sind etwaige Zugriffe von Anwendern oder von Ihnen selbst aus solchen Ländern.</t>
        </r>
      </text>
    </comment>
    <comment ref="B106" authorId="0" shapeId="0" xr:uid="{9916186D-B8FA-4203-86FA-61B5133FA99E}">
      <text>
        <r>
          <rPr>
            <sz val="9"/>
            <color indexed="81"/>
            <rFont val="Segoe UI"/>
            <family val="2"/>
          </rPr>
          <t>Viele Provider von Online-KI-Diensten überwachen im Hintergrund die Inputs und Outputs ihrer Systeme auf etwaige Missbräuche oder Rechtsverletzungen oder behalten sich dies (inklusive Zugriff auf Ihre Inhalte) vertraglich vor; Microsoft tut dies z.B. für ihre Azure OpenAI-Dienste.</t>
        </r>
      </text>
    </comment>
    <comment ref="B107" authorId="0" shapeId="0" xr:uid="{D4DEA607-C06F-4062-A4CE-6323DB7D45E5}">
      <text>
        <r>
          <rPr>
            <sz val="9"/>
            <color indexed="81"/>
            <rFont val="Segoe UI"/>
            <family val="2"/>
          </rPr>
          <t>Sie können dies herausfinden, indem Sie den Vertrag prüfen (klären Sie, ob der Provider sich eine solche Nutzung vorbehält) oder in der Konsole schauen, ob es eine entsprechende Konfigurationsmöglichkeit gibt. Oder Sie finden anderswo eine Zusage des Providers, dass Ihre Daten nicht für das Training verwendet wird.</t>
        </r>
      </text>
    </comment>
    <comment ref="B108" authorId="0" shapeId="0" xr:uid="{52C9697D-5FA9-4404-996E-31B376AB6361}">
      <text>
        <r>
          <rPr>
            <sz val="9"/>
            <color indexed="81"/>
            <rFont val="Segoe UI"/>
            <family val="2"/>
          </rPr>
          <t>Wenn Sie z.B. eine Schweizer Bank oder öffentliche Behörde sind oder als Gesundheitsfachperson tätig.</t>
        </r>
      </text>
    </comment>
    <comment ref="B109" authorId="0" shapeId="0" xr:uid="{0972F157-2BC2-4B22-A943-5B2606ADFEF9}">
      <text>
        <r>
          <rPr>
            <sz val="9"/>
            <color indexed="81"/>
            <rFont val="Segoe UI"/>
            <family val="2"/>
          </rPr>
          <t>Dies meint alle Angaben, die oder mit welchen eine natürliche Person direkt oder indirekt identifiziert werden kann.</t>
        </r>
      </text>
    </comment>
    <comment ref="B110" authorId="0" shapeId="0" xr:uid="{100EBECD-7A24-46BC-A7E3-DEBAFF6BAB45}">
      <text>
        <r>
          <rPr>
            <sz val="9"/>
            <color indexed="81"/>
            <rFont val="Segoe UI"/>
            <family val="2"/>
          </rPr>
          <t>Gemeint sind Inhalte, die Sie aufgrund von Rechten Dritter oder rechtlichen Verpflichtungen nicht frei verwenden dürfen, z.B. urheberrechtlich geschütztes oder lizenziertes Material Dritter oder Geheimnisse Dritter, die Sie im Rahmen einer Vertraulichkeitsvereinbarung erfahren haben.</t>
        </r>
      </text>
    </comment>
    <comment ref="B114" authorId="0" shapeId="0" xr:uid="{435D7A9A-8360-4E04-B1F2-0B1091A88436}">
      <text>
        <r>
          <rPr>
            <sz val="9"/>
            <color indexed="81"/>
            <rFont val="Segoe UI"/>
            <family val="2"/>
          </rPr>
          <t>Dies ist normalerweise bei den beliebten Providern der Fall, aber lassen Sie dies von einer Fachperson überprüfen (der ADV, AVV oder das DPA, wie dieses Verträge heissen, ist normalerweise auf der Website des Providers öffentlich zugänglich); in seltenen Fällen ist kein solcher Vertrag erforderlich.</t>
        </r>
      </text>
    </comment>
    <comment ref="B115" authorId="0" shapeId="0" xr:uid="{4989F6CB-7539-41EF-88E7-C758150B6A48}">
      <text>
        <r>
          <rPr>
            <sz val="9"/>
            <color indexed="81"/>
            <rFont val="Segoe UI"/>
            <family val="2"/>
          </rPr>
          <t>Ein gutes Zeichen ist, wenn der Vertrag Klauseln enthält, welche die Geltung der "EU-SCC" vorsehen oder, falls der Provider Daten in die USA senden will, er sicherstellt, dass die Empfänger in den USA unter dem "Data Privacy Framework" (DPF) zertifiziert sind.</t>
        </r>
      </text>
    </comment>
    <comment ref="B116" authorId="0" shapeId="0" xr:uid="{79FC79A4-A678-477B-89B2-858B92B7DE7F}">
      <text>
        <r>
          <rPr>
            <sz val="9"/>
            <color indexed="81"/>
            <rFont val="Segoe UI"/>
            <family val="2"/>
          </rPr>
          <t>Für diese Aufgabe benötigen Sie in der Regel eine Fachperson; Microsoft, AWS und Google bieten passende Klauseln an; einige von ihnen verwenden hierzu einen separaten Vertragszusatz für Berufsgeheimnisträger (aber auch in diesem Fall ist es inhaltlich zu prüfen).</t>
        </r>
      </text>
    </comment>
    <comment ref="B117" authorId="0" shapeId="0" xr:uid="{16865ED3-00F7-4EA8-8083-FFDA83EB86A1}">
      <text>
        <r>
          <rPr>
            <sz val="9"/>
            <color indexed="81"/>
            <rFont val="Segoe UI"/>
            <family val="2"/>
          </rPr>
          <t>Ob das der Fall ist hängt davon ab, welche Restriktionen Sie in Bezug auf die von Ihnen genutzten Inhalte beachten müssen. Setzen Sie solche Inhalte ein, sollten die Verträge mit den Providern diese z.B. mindestens zur Vertraulichkeit verpflichten und vorsehen, dass die Provider sie nicht für eigene Zwecke nutzen dürfen (z.B. ein KI-Training seitens des Providers).</t>
        </r>
      </text>
    </comment>
    <comment ref="B118" authorId="0" shapeId="0" xr:uid="{43F8FE36-3652-48C5-B67C-A7AC23D1E2FE}">
      <text>
        <r>
          <rPr>
            <sz val="9"/>
            <color indexed="81"/>
            <rFont val="Segoe UI"/>
            <family val="2"/>
          </rPr>
          <t>Sie müssen normalerweise die den Zweck, für den Sie personenbezogene Daten erheben, und die Art dieser Daten in Ihrer Datenschutzerklärung auflisten; in jedem Fall sollten Sie Ihre Datenschutzerklärung auf allfälligen Anpassungsbedarf im Hinblick auf Ihre neue Anwendung prüfen.</t>
        </r>
      </text>
    </comment>
    <comment ref="B119" authorId="0" shapeId="0" xr:uid="{E2412050-BC7B-4BCA-8053-0EA9962E6594}">
      <text>
        <r>
          <rPr>
            <sz val="9"/>
            <color indexed="81"/>
            <rFont val="Segoe UI"/>
            <family val="2"/>
          </rPr>
          <t>Überprüfen Sie dies mit Ihrer Datenschutzstelle; die meisten Betriebe haben einen Prozess, der die Führung und Aktualisierung dieses Verzeichnisses abdeckt.</t>
        </r>
      </text>
    </comment>
    <comment ref="B120" authorId="0" shapeId="0" xr:uid="{0EFF2A6A-2D40-45B3-901C-119EE8233D25}">
      <text>
        <r>
          <rPr>
            <sz val="9"/>
            <color indexed="81"/>
            <rFont val="Segoe UI"/>
            <family val="2"/>
          </rPr>
          <t>Grundsätzlich müssen Anbieter von KI-Systemen nach dem EU AI Act sicherstellen, dass Personen, die mit ihrem System interagieren, darüber informiert werden und dass KI-generierte Inhalte auf maschinenlesbare Weise als solche markiert sind. Betreiber von KI-Systemen müssen über allfällige Anwendungen von Systemen zur Emotionserkennung und biometrischen Kategorisierung und Deepfakes informieren und darüber, ob sie KI-generierte Nachrichten/Medieninhalte ohne redaktionelle Aufsicht verwenden.</t>
        </r>
      </text>
    </comment>
    <comment ref="B121" authorId="0" shapeId="0" xr:uid="{EFCAC1C1-1D2D-43FB-A0A5-4908A7DCDBEE}">
      <text>
        <r>
          <rPr>
            <sz val="9"/>
            <color indexed="81"/>
            <rFont val="Segoe UI"/>
            <family val="2"/>
          </rPr>
          <t>Klären Sie dies anhand der Weisungen Ihres Unternehmens in Bezug auf Audit-Trails und Vorgaben zur Aufbewahrung von Dokumenten und Daten; das Datenschutzrecht und auch andere Gesetze können vorschreiben, dass Sie protokollieren bzw. dokumentieren müssen, wie, wer und mit welchem Input und Output ein KI System verwendet hat.</t>
        </r>
      </text>
    </comment>
    <comment ref="B125" authorId="0" shapeId="0" xr:uid="{EAF8783E-7331-4C63-98F5-ED946E104F67}">
      <text>
        <r>
          <rPr>
            <sz val="9"/>
            <color indexed="81"/>
            <rFont val="Segoe UI"/>
            <family val="2"/>
          </rPr>
          <t>Beispielsweise wenn Inhalte als Input für ein KI-System benutzt werden (etwa für dessen Training oder wo dem Provider ein solches erlaubt wird), obwohl die auf die Inhalte anwendbare Lizenzvereinbarung oder Geheimhaltungsvereinbarung eine solche Verwendung nicht erlaubt, auch nicht implizit.</t>
        </r>
      </text>
    </comment>
    <comment ref="B126" authorId="0" shapeId="0" xr:uid="{DC6541BF-703C-4156-BF40-B917E673654D}">
      <text>
        <r>
          <rPr>
            <sz val="9"/>
            <color indexed="81"/>
            <rFont val="Segoe UI"/>
            <family val="2"/>
          </rPr>
          <t>Zum Beispiel wenn der Provider den Input und Output des KI-Systems auch für eigene Zwecke, wie etwa das Training seines Modells zur die Verbesserung seines Dienstes, benutzt.</t>
        </r>
      </text>
    </comment>
    <comment ref="B127" authorId="0" shapeId="0" xr:uid="{3C045D07-AD7E-4428-948F-BF7902DAE862}">
      <text>
        <r>
          <rPr>
            <sz val="9"/>
            <color indexed="81"/>
            <rFont val="Segoe UI"/>
            <family val="2"/>
          </rPr>
          <t>Zum Beispiel wenn der Provider alle von der KI generierten Outputs auf Verstösse gegen seine Nutzungsrichtlinien hin prüfen, was wiederum unsere eigenen Pflichten im Rahmen des Berufs- oder Amtsgeheimnisses verletzen kann.</t>
        </r>
      </text>
    </comment>
    <comment ref="B128" authorId="0" shapeId="0" xr:uid="{6B8C27E2-6CCB-4644-8266-1BB4DAE09935}">
      <text>
        <r>
          <rPr>
            <sz val="9"/>
            <color indexed="81"/>
            <rFont val="Segoe UI"/>
            <family val="2"/>
          </rPr>
          <t>Zu denken ist etwa an Fälle, in denen Daten, die für das Training des KI-Systems verwendet oder sonst von Benutzern im KI-System eingegeben worden sind, nun versehentlich oder aufgrund einer bösgläubige Manipulation beim Einsatz der Lösung unbefugt offengelegt werden, indem sie z.B. plötzlich im Output auftauchen ("data leakage").</t>
        </r>
      </text>
    </comment>
    <comment ref="B129" authorId="0" shapeId="0" xr:uid="{01A052A0-9CA0-4B90-ABE6-8ECE9D37D32A}">
      <text>
        <r>
          <rPr>
            <sz val="9"/>
            <color indexed="81"/>
            <rFont val="Segoe UI"/>
            <family val="2"/>
          </rPr>
          <t>Beispielsweise ein System, das Daten über die Gesundheit, sexuelle Vorlieben oder politische Ansichten verarbeitet oder automatisch Eigenschaften oder andere Aspekte einer bestimmten Personen prognostiziert.</t>
        </r>
      </text>
    </comment>
    <comment ref="B130" authorId="0" shapeId="0" xr:uid="{0A3496B4-95FC-49D9-A6FF-7A4AD39959AA}">
      <text>
        <r>
          <rPr>
            <sz val="9"/>
            <color indexed="81"/>
            <rFont val="Segoe UI"/>
            <family val="2"/>
          </rPr>
          <t>Zum Beispiel verlangt die DSGVO, dass jede Verarbeitung von personenbezogenen Daten sich auf einen Rechtsgrund stützen kann, wie z.B. die Einwilligung, berechtigtes Interesse, eine rechtliche Verpflichtung nach EU-Recht oder die Verarbeitung nötig ist, um einen Vertrag mit der betroffenen Person zu erfüllen.</t>
        </r>
      </text>
    </comment>
    <comment ref="B131" authorId="0" shapeId="0" xr:uid="{8859E75A-88DC-4413-B8DA-091911E7880A}">
      <text>
        <r>
          <rPr>
            <sz val="9"/>
            <color indexed="81"/>
            <rFont val="Segoe UI"/>
            <family val="2"/>
          </rPr>
          <t>Zum Beispiel wenn wir persönliche Daten in unser KI-System einspeisen, die wir an sich für einen anderen Zweck als diesen gesammelt haben, oder wenn personenbezogene Daten für Zwecke generieren, die wir nicht offengelegt haben.</t>
        </r>
      </text>
    </comment>
    <comment ref="B132" authorId="0" shapeId="0" xr:uid="{07FD752A-4D9D-4388-9ACA-C9A6D558EEA6}">
      <text>
        <r>
          <rPr>
            <sz val="9"/>
            <color indexed="81"/>
            <rFont val="Segoe UI"/>
            <family val="2"/>
          </rPr>
          <t>Beispielsweise, wenn wir personenbezogene Daten länger als für den verfolgten Zweck wirklich notwendig aufbewahren oder wenn wir solche Daten aufbewahren, ohne, dass wir uns wirklich bewusst sind, für welchen Zweck wir sie später verwenden wollen.</t>
        </r>
      </text>
    </comment>
    <comment ref="B133" authorId="0" shapeId="0" xr:uid="{AEC0282D-96FF-4981-A797-3E4AA37B9C5B}">
      <text>
        <r>
          <rPr>
            <sz val="9"/>
            <color indexed="81"/>
            <rFont val="Segoe UI"/>
            <family val="2"/>
          </rPr>
          <t>Das wäre z.B. nicht eingehalten, wenn wir Nutzer bitten, uns mehr personenbezogene Daten mitzuteilen, als wir tatsächlich benötigen, oder wenn wir nicht einschränken, welche personenbezogene Daten durch die Nutzung des Systems generiert werden können bzw. dürfen.</t>
        </r>
      </text>
    </comment>
    <comment ref="B134" authorId="0" shapeId="0" xr:uid="{3CE147A8-CA24-441C-940B-D53B4CA11F36}">
      <text>
        <r>
          <rPr>
            <sz val="9"/>
            <color indexed="81"/>
            <rFont val="Segoe UI"/>
            <family val="2"/>
          </rPr>
          <t>Das wäre z.B. nicht erfüllt, wenn wir den Zugang zu unserer KI-Lösung nicht auf jene Leute beschränken, welche den Zugang zu den darin gespeicherten personenbezogenen Daten für ihre Arbeit wirklich benötigen.</t>
        </r>
      </text>
    </comment>
    <comment ref="B135" authorId="0" shapeId="0" xr:uid="{2EEA8090-5896-47C1-AEEC-3E2B0E9BD921}">
      <text>
        <r>
          <rPr>
            <sz val="9"/>
            <color indexed="81"/>
            <rFont val="Segoe UI"/>
            <family val="2"/>
          </rPr>
          <t>Sind wir z.B. in der Lage, personenbezogene Daten aus unseren Systemen wieder zu entfernen oder sie korrigieren oder zu verhindern, dass bestimmte personenbezogene Daten im Output der KI auftauchen, und können wir Auskunft darüber erteilen, von wem welche Personendaten in unserem System enthalten sind?</t>
        </r>
      </text>
    </comment>
    <comment ref="B136" authorId="0" shapeId="0" xr:uid="{2F03B1AA-E0DE-44C7-B7DB-FD2E643972C1}">
      <text>
        <r>
          <rPr>
            <sz val="9"/>
            <color indexed="81"/>
            <rFont val="Segoe UI"/>
            <family val="2"/>
          </rPr>
          <t>Gemeint ist, ob unser KI-System ist ausreichend gut gegen Cyberangriffe geschützt. Dies muss auch getestet worden sein. Im Falle eines Ausfalls sollte es wo nötig eine Backup-Lösung geben.</t>
        </r>
      </text>
    </comment>
    <comment ref="B137" authorId="0" shapeId="0" xr:uid="{1F3A2107-1FF9-4376-AC28-4F06143BDC22}">
      <text>
        <r>
          <rPr>
            <sz val="9"/>
            <color indexed="81"/>
            <rFont val="Segoe UI"/>
            <family val="2"/>
          </rPr>
          <t>Ein Beispiel wäre, dass Stellenbewerber wissen sollten, ob ihre Bewerbung automatisch von einer KI entschieden wird. Hingegen erfordert z.B. die Nutzung von KI für Übersetzungen normalerweise keine Offenlegung.</t>
        </r>
      </text>
    </comment>
    <comment ref="B138" authorId="0" shapeId="0" xr:uid="{4A39AB6C-A270-4604-8646-C227D0F77328}">
      <text>
        <r>
          <rPr>
            <sz val="9"/>
            <color indexed="81"/>
            <rFont val="Segoe UI"/>
            <family val="2"/>
          </rPr>
          <t>Beispiel könnte ein KI-System sein, das anhand diverser Angaben berechnet, welchen maximalen Preis eine Person für ein bestimmtes Produkt zu bezahlen bereit ist und dann diesen anzeigt. Kein solcher Fall wäre es hingegen, wenn KI genutzt wird, um Online-Werbung gezielter auszurichten.</t>
        </r>
      </text>
    </comment>
    <comment ref="B139" authorId="0" shapeId="0" xr:uid="{B04A3639-C9DD-46A5-9126-4937C286A774}">
      <text>
        <r>
          <rPr>
            <sz val="9"/>
            <color indexed="81"/>
            <rFont val="Segoe UI"/>
            <family val="2"/>
          </rPr>
          <t>Massnahmen zum Umgang mit möglicher Halluzinationen sind hier beispielsweise gemeint, auch der Umgang mit LLMs, die mit falschen oder diskriminierenden Daten trainiert worden sind; zu denken ist hier auch an einen Mangel an Qualitätskontrolle sowohl der Inptus als auch der Outputs eines KI-Systems.</t>
        </r>
      </text>
    </comment>
    <comment ref="B140" authorId="0" shapeId="0" xr:uid="{D3D31E0A-6681-48F2-97D7-E4144CEB54F6}">
      <text>
        <r>
          <rPr>
            <sz val="9"/>
            <color indexed="81"/>
            <rFont val="Segoe UI"/>
            <family val="2"/>
          </rPr>
          <t>Die Tests dienen dazu, die Qualität des verwendeten KI-Modells, des Promptings und der Funktion und Eignung des KI-Systems generell zu beurteilen und sicherzustellen; es geht aber auch um die Verhinderung von Missbräuchen (z.B. durch manipulierte Prompts); es stellt sich auch die Frage, ob ein "Red Teaming" durchgeführt wird, d.h. Tests mit Hilfe gezielter Angriffe auf die KI.</t>
        </r>
      </text>
    </comment>
    <comment ref="B141" authorId="0" shapeId="0" xr:uid="{83C8E994-8273-4B53-92BA-E83A1AE91A4F}">
      <text>
        <r>
          <rPr>
            <sz val="9"/>
            <color indexed="81"/>
            <rFont val="Segoe UI"/>
            <family val="2"/>
          </rPr>
          <t>Beispielsweise wo die Ergebnisse des KI-Systems (falls sie falsch oder unvollständig sind) Auswirkungen auf Entscheide haben könnte, zur Verweigerung einer Dienstleistung führen können oder sich darauf auswirken, was anderen über eine Person mitgeteilt wird.</t>
        </r>
      </text>
    </comment>
    <comment ref="B142" authorId="0" shapeId="0" xr:uid="{9664F4A1-D880-4C1B-A320-2D736884A490}">
      <text>
        <r>
          <rPr>
            <sz val="9"/>
            <color indexed="81"/>
            <rFont val="Segoe UI"/>
            <family val="2"/>
          </rPr>
          <t>Beispielsweise, wenn KI-Systeme gegen die Interessen von Mitarbeitenden, Kindern, Patienten, ältere oder behinderte Menschen eingesetzt angesehen werden könnten, oder wo solche betroffene Personen sich gegen den Einsatz von KI womöglich nicht wehren könnten.</t>
        </r>
      </text>
    </comment>
    <comment ref="B143" authorId="0" shapeId="0" xr:uid="{D6607A95-D788-46D9-92B1-547B86E7C153}">
      <text>
        <r>
          <rPr>
            <sz val="9"/>
            <color indexed="81"/>
            <rFont val="Segoe UI"/>
            <family val="2"/>
          </rPr>
          <t>Gemeint sind z.B. Entscheide über Vertragsangelegenheiten, kommerzielle Konditionen, die Einstellung oder Kündigung einer Person, das Anbieten von wichtigen Dienstleistungen.</t>
        </r>
      </text>
    </comment>
    <comment ref="B144" authorId="0" shapeId="0" xr:uid="{6109E259-B121-455D-88F6-8E9A32CCE0C9}">
      <text>
        <r>
          <rPr>
            <sz val="9"/>
            <color indexed="81"/>
            <rFont val="Segoe UI"/>
            <family val="2"/>
          </rPr>
          <t>Gemeint ist z.B. die Verwendung eines LLM wie GPT, welches gut bekannt ist, mit welchem allgemein bereits viel Erfahrung gesammelt wurde und die Qualität anerkannt ist. Dies im Vergleich zu im Markt weitgehend unbekannten Modellen, über die kaum etwas bekannt ist.</t>
        </r>
      </text>
    </comment>
    <comment ref="B145" authorId="0" shapeId="0" xr:uid="{0065CBC2-F65C-4987-88AF-9BD0B8B65885}">
      <text>
        <r>
          <rPr>
            <sz val="9"/>
            <color indexed="81"/>
            <rFont val="Segoe UI"/>
            <family val="2"/>
          </rPr>
          <t>Etwa weil die Menschen im Glauben gelassen werden, dass sie es mit einem Menschen zu tun haben, oder weil das KI-System die Menschen dazu verleiten könnte, Ratschlägen zu vertrauen, obwohl diese nicht vertrauenswürdig sind.</t>
        </r>
      </text>
    </comment>
    <comment ref="B146" authorId="0" shapeId="0" xr:uid="{0EDC5D31-DF19-4EAF-92A0-F7EF42775F40}">
      <text>
        <r>
          <rPr>
            <sz val="9"/>
            <color indexed="81"/>
            <rFont val="Segoe UI"/>
            <family val="2"/>
          </rPr>
          <t>Gemeint ist beispielsweise eine interne Weisung, die den Anwendern vorschreibt, dass sie Störungen und andere Probleme meldet, die Protokollierung solcher Probleme, eine Stelle, die sich mit solchen Zwischenfällen befasst. Dies etwa im Gegensatz zu KI-Lösungen, um die sich nach ihrer Implementierung niemand mehr kümmert.</t>
        </r>
      </text>
    </comment>
    <comment ref="B147" authorId="0" shapeId="0" xr:uid="{FDC1134B-3005-4EC1-9787-12DDDF7CFB5F}">
      <text>
        <r>
          <rPr>
            <sz val="9"/>
            <color indexed="81"/>
            <rFont val="Segoe UI"/>
            <family val="2"/>
          </rPr>
          <t>Beispielsweise, wenn Menschen gezwungen werden, sich in wichtigen Angelegenheiten ausschliesslich an eine KI zu wenden, auch wenn sie mit einem Menschen interagieren möchten. Ein anderes Beispiel wäre ein KI-System, das auf unangemessene Weise mit seinen Benutzern kommuniziert.</t>
        </r>
      </text>
    </comment>
    <comment ref="B148" authorId="0" shapeId="0" xr:uid="{D276EB1C-980C-4921-BC1B-B36AF49CCDB8}">
      <text>
        <r>
          <rPr>
            <sz val="9"/>
            <color indexed="81"/>
            <rFont val="Segoe UI"/>
            <family val="2"/>
          </rPr>
          <t>Wissen die Mitarbeiter z:b., wie das System zu verwenden ist, was seine Grenzen sind, wie damit umzugehen ist, wie im Falle von Problemen zu reagieren ist; dasselbe gilt für externe Nutzer, soweit das KI-System solchen zur Verfügung steht.</t>
        </r>
      </text>
    </comment>
    <comment ref="B149" authorId="0" shapeId="0" xr:uid="{27B365D2-888B-49BC-8C45-C671F9CD4B75}">
      <text>
        <r>
          <rPr>
            <sz val="9"/>
            <color indexed="81"/>
            <rFont val="Segoe UI"/>
            <family val="2"/>
          </rPr>
          <t>Zum Beispiel, wenn der Providerauf, auf den wir für unsere Anwendung angewiesen sind, seinen diesbezüglichen Dienst ohne Vorwarnung auf eine Weise anpassen könnte, die uns schaden könnte.</t>
        </r>
      </text>
    </comment>
    <comment ref="B151" authorId="0" shapeId="0" xr:uid="{BD237F96-7D13-4A79-B294-122B52C0FF83}">
      <text>
        <r>
          <rPr>
            <sz val="9"/>
            <color indexed="81"/>
            <rFont val="Segoe UI"/>
            <family val="2"/>
          </rPr>
          <t>Dies wird typischerweise ein Wert zwischen 0.5 und 3 Jahren sein, da es sich hier um ein sich schnell veränderndes Feld geht; nach dieser Zeit sollte die aktuelle Risikobewertung wiederholt werden.</t>
        </r>
      </text>
    </comment>
    <comment ref="B159" authorId="0" shapeId="0" xr:uid="{8F8AD4FA-82F5-48D5-9CA2-7C02C45F24E1}">
      <text>
        <r>
          <rPr>
            <sz val="9"/>
            <color indexed="81"/>
            <rFont val="Segoe UI"/>
            <family val="2"/>
          </rPr>
          <t>Umfangreich bedeutet normalerweise mehrere Hundert oder Tausend Datensätze, und nicht bloss zufällig vorkommende Daten (es sei denn, deren Volumen ist hoch).</t>
        </r>
      </text>
    </comment>
    <comment ref="B160" authorId="0" shapeId="0" xr:uid="{FE53A341-49B4-46A3-87FA-C43CC4DB69AE}">
      <text>
        <r>
          <rPr>
            <sz val="9"/>
            <color indexed="81"/>
            <rFont val="Segoe UI"/>
            <family val="2"/>
          </rPr>
          <t>Ein Beispiel ist der Einsatz von Videoüberwachungssystemen in öffentlichen Bereichen.</t>
        </r>
      </text>
    </comment>
    <comment ref="B161" authorId="0" shapeId="0" xr:uid="{A257E642-77A9-4B5E-9696-98248389E484}">
      <text>
        <r>
          <rPr>
            <sz val="9"/>
            <color indexed="81"/>
            <rFont val="Segoe UI"/>
            <family val="2"/>
          </rPr>
          <t>Dies erfasst auch Fälle, in denen die KI-Lösung nur zur Vorbereitung von (von Menschen getroffenen) Entscheiden verwendet wird.</t>
        </r>
      </text>
    </comment>
    <comment ref="B162" authorId="0" shapeId="0" xr:uid="{10A3724C-B5BE-419B-BEA1-4CBDCB6BCD55}">
      <text>
        <r>
          <rPr>
            <sz val="9"/>
            <color indexed="81"/>
            <rFont val="Segoe UI"/>
            <family val="2"/>
          </rPr>
          <t>Zum Beispiel, wenn eine KI-Lösung verwendet wird, um Inhalte zu generieren, die sich auf eine bestimmte Person beziehen und entscheidend dafür sind, wie diese Person behandelt wird. Wenn das System also falsche Informationen generiert und dies zu Problemen für die Person führen könnte, dann sollte hier ein "Ja" gewählt werden, selbst wenn menschliche Aufsicht besteht, um solche Fälle abzufangen.</t>
        </r>
      </text>
    </comment>
    <comment ref="B163" authorId="0" shapeId="0" xr:uid="{37B68DF1-070A-4BFF-B538-5E8A9F9645FB}">
      <text>
        <r>
          <rPr>
            <sz val="9"/>
            <color indexed="81"/>
            <rFont val="Segoe UI"/>
            <family val="2"/>
          </rPr>
          <t>Berücksichtigen Sie nicht nur klassische Angriffe auf die Informationssicherheit, sondern auch Angriffe, die die spezifischen Merkmale von KI-Systemen und -Modellen wie Poisoning und Prompt-Injection-Angriffe ausnutzen.</t>
        </r>
      </text>
    </comment>
    <comment ref="B164" authorId="0" shapeId="0" xr:uid="{88809AB1-A7BA-4544-AAF1-A44231F98217}">
      <text>
        <r>
          <rPr>
            <sz val="9"/>
            <color indexed="81"/>
            <rFont val="Segoe UI"/>
            <family val="2"/>
          </rPr>
          <t>Denken Sie über die Art der verwendeten Daten, die Fehler, die auftreten könnten, den Zweck der KI-Lösung nach und fragen Sie sich, ob die Verwendung der KI-Lösung wahrscheinlich zu einem erheblichen Schaden für die betroffenen Personen führen könnte, ohne die von Ihnen allenfalls zu treffenden Gegenmassnahmen zu berücksichtigen.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24" authorId="0" shapeId="0" xr:uid="{F2867C05-1D93-44F2-9C88-92B71909EBB0}">
      <text>
        <r>
          <rPr>
            <sz val="9"/>
            <color indexed="81"/>
            <rFont val="Segoe UI"/>
            <family val="2"/>
          </rPr>
          <t>This means a detailed description of why the application is implemented and for which purpose.</t>
        </r>
      </text>
    </comment>
    <comment ref="B27" authorId="0" shapeId="0" xr:uid="{D9AFB799-CEFD-48BD-90C4-7528BBFB69E6}">
      <text>
        <r>
          <rPr>
            <sz val="9"/>
            <color indexed="81"/>
            <rFont val="Segoe UI"/>
            <family val="2"/>
          </rPr>
          <t>Include data that is fed to the AI system (including any model), but also other input processed by the application.</t>
        </r>
      </text>
    </comment>
    <comment ref="B31" authorId="0" shapeId="0" xr:uid="{64FC7155-6F08-4A74-8650-6773503B78DE}">
      <text>
        <r>
          <rPr>
            <sz val="9"/>
            <color indexed="81"/>
            <rFont val="Segoe UI"/>
            <family val="2"/>
          </rPr>
          <t>Meaning individuals about whom personal data is to be processed.</t>
        </r>
      </text>
    </comment>
    <comment ref="B32" authorId="0" shapeId="0" xr:uid="{400A75ED-B1F1-4AA6-A7A1-2335950E183D}">
      <text>
        <r>
          <rPr>
            <sz val="9"/>
            <color indexed="81"/>
            <rFont val="Segoe UI"/>
            <family val="2"/>
          </rPr>
          <t>Consider both input and output that your application will likely generate or otherwise process (including manual input and the model).</t>
        </r>
      </text>
    </comment>
    <comment ref="B33" authorId="0" shapeId="0" xr:uid="{7280B9A9-FFAB-48BD-B26E-EE342DBF6B0D}">
      <text>
        <r>
          <rPr>
            <sz val="9"/>
            <color indexed="81"/>
            <rFont val="Segoe UI"/>
            <family val="2"/>
          </rPr>
          <t>Meaning those who are not already listed as data subjects, e.g., persons affected by decisions, but whose personal data are not used.</t>
        </r>
      </text>
    </comment>
    <comment ref="B34" authorId="0" shapeId="0" xr:uid="{319508A4-B3E5-4852-8673-4B548ADE457D}">
      <text>
        <r>
          <rPr>
            <sz val="9"/>
            <color indexed="81"/>
            <rFont val="Segoe UI"/>
            <family val="2"/>
          </rPr>
          <t>How do you internally keep oversight of what the AI system is doing and whether it is working correctly?</t>
        </r>
      </text>
    </comment>
    <comment ref="B35" authorId="0" shapeId="0" xr:uid="{86D35D4F-BF2A-4FF6-AB22-5148D037D7FB}">
      <text>
        <r>
          <rPr>
            <sz val="9"/>
            <color indexed="81"/>
            <rFont val="Segoe UI"/>
            <family val="2"/>
          </rPr>
          <t>Includes internal reporting and incident response, including for regulatory compliance.</t>
        </r>
      </text>
    </comment>
    <comment ref="B39" authorId="0" shapeId="0" xr:uid="{E0D1A2A8-CA1B-47F3-8B00-33ACBA2DFE25}">
      <text>
        <r>
          <rPr>
            <sz val="9"/>
            <color indexed="81"/>
            <rFont val="Segoe UI"/>
            <family val="2"/>
          </rPr>
          <t>We are asking for this information in order to check whether the risks involved in your application can be justified.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24" authorId="0" shapeId="0" xr:uid="{E06E90E5-3987-4F0E-ABD9-9891D5D18570}">
      <text>
        <r>
          <rPr>
            <sz val="9"/>
            <color indexed="81"/>
            <rFont val="Segoe UI"/>
            <family val="2"/>
          </rPr>
          <t>Hier beschreiben Sie im Detail, warum die Anwendung implementiert wird und zu welchem Zweck.</t>
        </r>
      </text>
    </comment>
    <comment ref="B27" authorId="0" shapeId="0" xr:uid="{1AB15E84-6EDC-4723-AF2C-C36C652F95A7}">
      <text>
        <r>
          <rPr>
            <sz val="9"/>
            <color indexed="81"/>
            <rFont val="Segoe UI"/>
            <family val="2"/>
          </rPr>
          <t>Fügen Sie Daten ein, die dem KI-System zugeführt werden (einschliesslich jedes Modells), aber auch andere Eingaben, die von der Anwendung verarbeitet werden.</t>
        </r>
      </text>
    </comment>
    <comment ref="B31" authorId="0" shapeId="0" xr:uid="{F173076F-470B-4BE9-9701-E53A136631D1}">
      <text>
        <r>
          <rPr>
            <sz val="9"/>
            <color indexed="81"/>
            <rFont val="Segoe UI"/>
            <family val="2"/>
          </rPr>
          <t>Gemeint sind die Personen, über die personenbezogene Daten verarbeitet werden sollen.</t>
        </r>
      </text>
    </comment>
    <comment ref="B32" authorId="0" shapeId="0" xr:uid="{F522DF57-E784-4F9B-A9DE-A09DDE1B9833}">
      <text>
        <r>
          <rPr>
            <sz val="9"/>
            <color indexed="81"/>
            <rFont val="Segoe UI"/>
            <family val="2"/>
          </rPr>
          <t>Denken Sie sowohl an den Input als auch an den Output, den Ihre Anwendung wahrscheinlich generieren oder anderweitig verarbeiten wird (einschliesslich manueller Input und den Inhalten, die aus dem Modell stammen).</t>
        </r>
      </text>
    </comment>
    <comment ref="B33" authorId="0" shapeId="0" xr:uid="{8DCDCDEB-10B1-4071-BBC7-079EB35B5C4D}">
      <text>
        <r>
          <rPr>
            <sz val="9"/>
            <color indexed="81"/>
            <rFont val="Segoe UI"/>
            <family val="2"/>
          </rPr>
          <t>Hier geht es um jene, die noch nicht als betroffene Personen aufgeführt sind, z.B. Personen, die von Entscheidungen betroffen sind, deren personenbezogene Daten jedoch nicht verwendet werden.</t>
        </r>
      </text>
    </comment>
    <comment ref="B34" authorId="0" shapeId="0" xr:uid="{7F097D37-5D9A-4DF5-9295-E6C80A8B0A6B}">
      <text>
        <r>
          <rPr>
            <sz val="9"/>
            <color indexed="81"/>
            <rFont val="Segoe UI"/>
            <family val="2"/>
          </rPr>
          <t>Wie behalten Sie intern den Überblick darüber, was das KI-System tut und ob sie korrekt funktioniert?</t>
        </r>
      </text>
    </comment>
    <comment ref="B35" authorId="0" shapeId="0" xr:uid="{F3534C9D-B2DA-46E4-B6BA-36A0DDA549FB}">
      <text>
        <r>
          <rPr>
            <sz val="9"/>
            <color indexed="81"/>
            <rFont val="Segoe UI"/>
            <family val="2"/>
          </rPr>
          <t>Beinhaltet interne Berichterstattung und Reaktion auf Vorfälle, einschliesslich der Einhaltung von Vorschriften.</t>
        </r>
      </text>
    </comment>
    <comment ref="B39" authorId="0" shapeId="0" xr:uid="{D23FA0DC-E802-44CA-9D09-382A67D96B6A}">
      <text>
        <r>
          <rPr>
            <sz val="9"/>
            <color indexed="81"/>
            <rFont val="Segoe UI"/>
            <family val="2"/>
          </rPr>
          <t>Diese Angaben dienen dazu zu prüfen, ob die mit ihrer Anwendung verbundenen Risiken entsprechend gerechtfertigt sind.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48" authorId="0" shapeId="0" xr:uid="{03024DE2-E1CA-4F98-8EB1-3E37C43100D4}">
      <text>
        <r>
          <rPr>
            <sz val="9"/>
            <color indexed="81"/>
            <rFont val="Segoe UI"/>
            <family val="2"/>
          </rPr>
          <t>Output is relevant if it can have any influence in the "real" world or in a virtual environment. Examples of autonomous generation of output based on input is generative AI or pattern recognition based on machine learning (i.e. where the patterns are not already pre-coded in the systems' program code). If you are using a third party AI model for generating output, then the answer should be yes and your application will be considered the AI system, not the AI model.</t>
        </r>
      </text>
    </comment>
    <comment ref="B49" authorId="0" shapeId="0" xr:uid="{86309839-54D4-438E-9D27-F76A2B16BDB4}">
      <text>
        <r>
          <rPr>
            <sz val="9"/>
            <color indexed="81"/>
            <rFont val="Segoe UI"/>
            <family val="2"/>
          </rPr>
          <t>Certain use cases are prohibited under the AI Act. Check whether your application is covered by one of them described in the selection.</t>
        </r>
      </text>
    </comment>
    <comment ref="B50" authorId="0" shapeId="0" xr:uid="{B34CD9F2-2625-4271-A46A-6CB77983107C}">
      <text>
        <r>
          <rPr>
            <sz val="9"/>
            <color indexed="81"/>
            <rFont val="Segoe UI"/>
            <family val="2"/>
          </rPr>
          <t>The AI Act defines a number activities when using an AI system that are qualified as "high-risk", which trigger additional obligations. You only need to consider those activities that are intended with your application, not any misuse.</t>
        </r>
      </text>
    </comment>
    <comment ref="B51" authorId="0" shapeId="0" xr:uid="{7D05C495-28CA-485C-9F19-E465FB0443FC}">
      <text>
        <r>
          <rPr>
            <sz val="9"/>
            <color indexed="81"/>
            <rFont val="Segoe UI"/>
            <family val="2"/>
          </rPr>
          <t>Even if your use case results in your AI system being "high-risk", you may still fall under the exception if the actual risk is low and there is no profiling (as defined by the GDPR). However, in order to rely on this exception, the provider has to document why the exception does apply.</t>
        </r>
      </text>
    </comment>
    <comment ref="B52" authorId="0" shapeId="0" xr:uid="{7789CD0F-82DE-4CA3-AF70-8C3B380A38C2}">
      <text>
        <r>
          <rPr>
            <sz val="9"/>
            <color indexed="81"/>
            <rFont val="Segoe UI"/>
            <family val="2"/>
          </rPr>
          <t>This includes for instance large language models. It does not include AI models used only for research, development or prototyping activities that are not released on the market.</t>
        </r>
      </text>
    </comment>
    <comment ref="B56" authorId="0" shapeId="0" xr:uid="{25E85DAF-03A1-414C-AF46-FB36E0755BA1}">
      <text>
        <r>
          <rPr>
            <sz val="9"/>
            <color indexed="81"/>
            <rFont val="Segoe UI"/>
            <family val="2"/>
          </rPr>
          <t>This means that you (or someone working for you) have created at least part of the system, be it by coding the AI system from scratch, be it by amending or extending an existing system, code etc., or be it by using an AI model through its API. The mere parametrization or configuration or use of retrieval augmented generation is likely not "development", but fine-tuning of the AI model used likely is. For example, if you integrate the system of a provider that offers customer service AI chatbots on your website and integrate "their" chatbot it into your website, you have not developped the chatbot (the provider has). If you build it on your own based on sample code and amend such code, you have developped the chatbot, even if you have done so on the basis of third party code.</t>
        </r>
      </text>
    </comment>
    <comment ref="B57" authorId="0" shapeId="0" xr:uid="{F0E7AD08-0CD8-4AAB-BE16-179B70238C8C}">
      <text>
        <r>
          <rPr>
            <sz val="9"/>
            <color indexed="81"/>
            <rFont val="Segoe UI"/>
            <family val="2"/>
          </rPr>
          <t>Say "yes" if you will be the first one to supply it for distribution or use (by someone else) on the EU market in the course of a commercial activity, whether in return for payment or free of charge.</t>
        </r>
      </text>
    </comment>
    <comment ref="B58" authorId="0" shapeId="0" xr:uid="{65CAC9BC-CD4E-4A2E-AB00-09529A5D8E3F}">
      <text>
        <r>
          <rPr>
            <sz val="9"/>
            <color indexed="81"/>
            <rFont val="Segoe UI"/>
            <family val="2"/>
          </rPr>
          <t>Say "yes" if you will have supplied it for first use by a deployer (i.e. an third-party using it under its own authority) in the EU or if you will be using it yourself in the EU (for your own internal purposes or for providing a service to others). .</t>
        </r>
      </text>
    </comment>
    <comment ref="B59" authorId="0" shapeId="0" xr:uid="{23713A66-04D1-468C-AD81-DF7390AA9CAC}">
      <text>
        <r>
          <rPr>
            <sz val="9"/>
            <color indexed="81"/>
            <rFont val="Segoe UI"/>
            <family val="2"/>
          </rPr>
          <t>You do not expressly have to mention your name to qualify for a "yes", if the first supply of the system or use is attributed to you. For example, if you place the AI chatbot that your organisation has developped on your website, then you have done so under your name. This would be a "no" if you have supplied an AI system under the name of a third-party, in which case the third-party becomes responsible.</t>
        </r>
      </text>
    </comment>
    <comment ref="B60" authorId="0" shapeId="0" xr:uid="{4B4ED564-9691-4BD5-B255-4897F61FD071}">
      <text>
        <r>
          <rPr>
            <sz val="9"/>
            <color indexed="81"/>
            <rFont val="Segoe UI"/>
            <family val="2"/>
          </rPr>
          <t>This means that you are using a high-risk AI system of a third-party provider but state or suggest that it is your AI system.</t>
        </r>
      </text>
    </comment>
    <comment ref="B61" authorId="0" shapeId="0" xr:uid="{C0250621-7774-46E6-A328-1DE0DD098073}">
      <text>
        <r>
          <rPr>
            <sz val="9"/>
            <color indexed="81"/>
            <rFont val="Segoe UI"/>
            <family val="2"/>
          </rPr>
          <t>Substantial modifications mean a change to an AI system after its placing on the market or putting into service which is not foreseen or planned in the initial conformity assessment carried out by the provider and has a relevant impact on the compliance of the AI system with the requirements of the AI Act or changed the intended purpose of the AI system.</t>
        </r>
      </text>
    </comment>
    <comment ref="B62" authorId="0" shapeId="0" xr:uid="{99756E97-5A62-4C1C-B761-4783E17F4211}">
      <text>
        <r>
          <rPr>
            <sz val="9"/>
            <color indexed="81"/>
            <rFont val="Segoe UI"/>
            <family val="2"/>
          </rPr>
          <t>For example, you are using a general purpose AI chatbot application to perform a high-risk AI activity (e.g., assessing job applicants), even though the chatbot was not provided for that purpose.</t>
        </r>
      </text>
    </comment>
    <comment ref="B63" authorId="0" shapeId="0" xr:uid="{34929BA1-5A3A-4FA7-8688-5320E18C2DCF}">
      <text>
        <r>
          <rPr>
            <sz val="9"/>
            <color indexed="81"/>
            <rFont val="Segoe UI"/>
            <family val="2"/>
          </rPr>
          <t>Placing on the market means that you will be the first one to supply it for distribution or use (by someone else) on the EU market in the course of a commercial activity, whether in return for payment or free of charge. Putting into service means supplying it for first use by a deployer (i.e. an third-party using it under its own authority) or using it oneselves in the EU (for your own internal purposes or for providing a service to others). .</t>
        </r>
      </text>
    </comment>
    <comment ref="B64" authorId="0" shapeId="0" xr:uid="{795C9234-518C-4CFF-9AAD-BAE3D9601E8B}">
      <text>
        <r>
          <rPr>
            <sz val="9"/>
            <color indexed="81"/>
            <rFont val="Segoe UI"/>
            <family val="2"/>
          </rPr>
          <t>Making available on the market means to supply it for distribution or use (by someone else) on the EU market in the course of a commercial activity, whether in return for payment or free of charge.</t>
        </r>
      </text>
    </comment>
    <comment ref="B65" authorId="0" shapeId="0" xr:uid="{7B0A977A-67DC-43E9-AE05-1095590773B9}">
      <text>
        <r>
          <rPr>
            <sz val="9"/>
            <color indexed="81"/>
            <rFont val="Segoe UI"/>
            <family val="2"/>
          </rPr>
          <t>Placing on the market means that you will be the first one to supply it for distribution or use (by someone else) on the EU market in the course of a commercial activity, whether in return for payment or free of charge.</t>
        </r>
      </text>
    </comment>
    <comment ref="B71" authorId="0" shapeId="0" xr:uid="{E98AEFD0-FE40-44DD-A123-1AA923AE0DE7}">
      <text>
        <r>
          <rPr>
            <sz val="9"/>
            <color indexed="81"/>
            <rFont val="Segoe UI"/>
            <family val="2"/>
          </rPr>
          <t>A certain degree of control is required for the criterion to be met. If you use a customer service chatbot offered by another company, you do not control it, even though you control the words you enter. It is the other company who defines how the chatbot shall respond to your input, hence it has the "authority" over it. Note that we only ask for using the AI system, not the AI model; the use of the AI model is typically considered as developping an AI system.</t>
        </r>
      </text>
    </comment>
    <comment ref="B72" authorId="0" shapeId="0" xr:uid="{01298F73-208A-4626-BB83-80B047E4FA2E}">
      <text>
        <r>
          <rPr>
            <sz val="9"/>
            <color indexed="81"/>
            <rFont val="Segoe UI"/>
            <family val="2"/>
          </rPr>
          <t>You have a seat in the EU (including by means of a branch office).</t>
        </r>
      </text>
    </comment>
    <comment ref="B73" authorId="0" shapeId="0" xr:uid="{359E0A74-FF82-4B77-9C57-C17BB8EF95A4}">
      <text>
        <r>
          <rPr>
            <sz val="9"/>
            <color indexed="81"/>
            <rFont val="Segoe UI"/>
            <family val="2"/>
          </rPr>
          <t>The output covers the content covered by the AI system as well as other results determined by the AI system (e.g., if part of the application is to share AI generated text with recipients in the EU, then this is a "yes").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48" authorId="0" shapeId="0" xr:uid="{66FB2C53-BB7E-4886-BF5A-3C7CA1DDBE8F}">
      <text>
        <r>
          <rPr>
            <sz val="9"/>
            <color indexed="81"/>
            <rFont val="Segoe UI"/>
            <family val="2"/>
          </rPr>
          <t>Der Output wird relevant, wenn er einen Einfluss in der "realen" Welt oder in einer virtuellen Umgebung haben kann. Beispiele für die ganz oder teilweise autonome Generierung von Output basierend auf einem bestimmten Input sind generative KI oder Systeme mit Mustererkennung basierend auf maschinellem Lernen (d.h., wo die Muster nicht bereits im Programmcode des Systems vorprogrammiert sind). Wenn Sie ein vorgefertigtes KI-Modell zur Generierung von Ausgaben verwenden, dann wird die Antwort hier "ja" sein, und Ihre Anwendung (und nicht das KI-Modell) wird als das KI-System gelten.</t>
        </r>
      </text>
    </comment>
    <comment ref="B49" authorId="0" shapeId="0" xr:uid="{8524A210-4889-4722-8469-BFDDB4E70914}">
      <text>
        <r>
          <rPr>
            <sz val="9"/>
            <color indexed="81"/>
            <rFont val="Segoe UI"/>
            <family val="2"/>
          </rPr>
          <t>Bestimmte Anwendungen sind nach dem AI Act verboten. Überprüfen Sie, ob Ihre Anwendung von einem der darin beschriebenen Fälle erfasst ist.</t>
        </r>
      </text>
    </comment>
    <comment ref="B50" authorId="0" shapeId="0" xr:uid="{4577CB36-B9D9-40A8-8408-1BA06F448445}">
      <text>
        <r>
          <rPr>
            <sz val="9"/>
            <color indexed="81"/>
            <rFont val="Segoe UI"/>
            <family val="2"/>
          </rPr>
          <t>Das KI-Gesetz definiert eine Reihe von Aktivitäten beim Einsatz eines KI-Systems, die als "hochriskant" eingestuft werden und zusätzliche Verpflichtungen auslösen. Sie müssen nur jene Aktivitäten berücksichtigen, die mit Ihrer Anwendung beabsichtigt sind, nicht etwaigen Missbrauch.</t>
        </r>
      </text>
    </comment>
    <comment ref="B51" authorId="0" shapeId="0" xr:uid="{FF8EDC88-E88F-4055-A444-6A68AAC53078}">
      <text>
        <r>
          <rPr>
            <sz val="9"/>
            <color indexed="81"/>
            <rFont val="Segoe UI"/>
            <family val="2"/>
          </rPr>
          <t>Auch wenn Ihr Anwendungsfall dazu führt, dass Ihr KI-System aufgrund der definierten Fälle als "hochriskant" eingestuft wird, können Sie dennoch unter eine Ausnahme fallen, wenn das tatsächliche Risiko gering ist und kein Profiling (im Sinne der DSGVO) betrieben wird. Um sich jedoch auf diese Ausnahme berufen zu dürfen, muss der Anbieter die Gründe für die Geltung der Ausnahme dokumentieren.</t>
        </r>
      </text>
    </comment>
    <comment ref="B52" authorId="0" shapeId="0" xr:uid="{1B9C852B-4129-46A9-A15A-B212DFE92E1B}">
      <text>
        <r>
          <rPr>
            <sz val="9"/>
            <color indexed="81"/>
            <rFont val="Segoe UI"/>
            <family val="2"/>
          </rPr>
          <t>Dies umfasst beispielsweise Large Language Models (LLM). Es schliesst jedoch KI-Modelle aus, die nur für Forschungs-, Entwicklungs- oder Prototyping-Aktivitäten verwendet und nicht auf den Markt gebracht werden.</t>
        </r>
      </text>
    </comment>
    <comment ref="B56" authorId="0" shapeId="0" xr:uid="{3A27CD0C-54B9-4AA9-A182-45BAAB60FB80}">
      <text>
        <r>
          <rPr>
            <sz val="9"/>
            <color indexed="81"/>
            <rFont val="Segoe UI"/>
            <family val="2"/>
          </rPr>
          <t>Das bedeutet, dass Sie (oder jemand, der für Sie arbeitet) zumindest einen Teil des KI-Systems erstellt hatsei es durch das Programmieren des KI-Systems von Grund auf, sei es durch das Ändern oder Erweitern eines bestehenden Systems, dessen Programmcodes etc., oder sei es durch die Nutzung eines KI-Modells über dessen API. Die blosse Parametrisierung oder Konfiguration oder Nutzung der Retrieval-Augmented-Generation-Technik gilt mutmasslich noch nicht als ein "Entwickeln", aber das Fine-Tuning eines KI-Modells zählt vermutlich dazu. Wenn Sie z.B. den Chatbot eines Providers, welcher Kundenservice-KI-Chatbots anbietet, auf Ihrer Website implementieren, haben Sie den Chatbot nicht selbst entwickelt (der Anbieter hat es). Wenn Sie den Chatbot jedoch auf der Grundlage von Mustercode im Internet selbst erstellt haben und vorhandenen Code für Ihre Zwecke anpassen, wird dies vermutlich als "Entwickeln" gelten, selbst wenn Sie dies auf der Grundlage von Code tun, den ursprünglich andere geschrieben haben.</t>
        </r>
      </text>
    </comment>
    <comment ref="B57" authorId="0" shapeId="0" xr:uid="{306A80AF-7C5C-45D9-B1E8-84CBA8E6BB27}">
      <text>
        <r>
          <rPr>
            <sz val="9"/>
            <color indexed="81"/>
            <rFont val="Segoe UI"/>
            <family val="2"/>
          </rPr>
          <t>Wählen Sie hier "Ja", falls Sie der erste sein werden, der das KI-System für den Vertrieb oder die Verwendung (durch jemand anderen) auf dem EU-Markt bringen (egal ob gegen Bezahlung oder kostenlos) und Sie dies im Rahmen einer kommerziellen Tätigkeit tun.</t>
        </r>
      </text>
    </comment>
    <comment ref="B58" authorId="0" shapeId="0" xr:uid="{ED4EF8F3-DE28-426C-AF59-976C0CC17144}">
      <text>
        <r>
          <rPr>
            <sz val="9"/>
            <color indexed="81"/>
            <rFont val="Segoe UI"/>
            <family val="2"/>
          </rPr>
          <t>Wählen Sie "Ja", wenn Sie es sein werden, der das System Betreibern in der EU (d.h. geschäftlichen Nutzern, die das System unter ihrer eigenen Verantwortung verwenden) für deren Erstgebrauch bereitstellt oder Sie es in der EU selbst verwenden werden (für Ihre eigenen internen Zwecke oder um anderen einen Dienst zu erbringen).</t>
        </r>
      </text>
    </comment>
    <comment ref="B59" authorId="0" shapeId="0" xr:uid="{10801B8A-6CC7-4666-BA7C-891FD5592C6F}">
      <text>
        <r>
          <rPr>
            <sz val="9"/>
            <color indexed="81"/>
            <rFont val="Segoe UI"/>
            <family val="2"/>
          </rPr>
          <t>Es genügt für ein "Ja", wenn die erste Nutzung des Systems in der EU Ihnen zugeschrieben wird, auch wenn Sie Ihren Namen oder Ihr Markenzeichen nicht ausdrücklich angegeben haben. 
Wenn Sie z.B. den von Ihrer Organisation entwickelten KI-Chatbot auf Ihrer eigenen Website platzieren, dann haben Sie bereits unter Ihrem Namen gehandelt. Wenn Sie hingegen ein KI-System unter dem Namen eines Dritten bereitgestellt haben, und somit dieser Dritte verantwortlich ist, sollten Sie hier ein "Nein" angeben..</t>
        </r>
      </text>
    </comment>
    <comment ref="B60" authorId="0" shapeId="0" xr:uid="{57174244-3C4D-40EA-9C1D-6DB18EB27184}">
      <text>
        <r>
          <rPr>
            <sz val="9"/>
            <color indexed="81"/>
            <rFont val="Segoe UI"/>
            <family val="2"/>
          </rPr>
          <t>Das bedeutet, dass Sie ein Hoch-Risiko-KI-System eines Drittanbieters verwenden, aber angeben oder den Eindruck erwecken, dass es Ihr eigenes KI-System ist.</t>
        </r>
      </text>
    </comment>
    <comment ref="B61" authorId="0" shapeId="0" xr:uid="{7993AC29-DF4A-4F2F-B2A2-E1AE0009F39B}">
      <text>
        <r>
          <rPr>
            <sz val="9"/>
            <color indexed="81"/>
            <rFont val="Segoe UI"/>
            <family val="2"/>
          </rPr>
          <t>Wesentliche Änderungen bedeuten eine Änderung an einem KI-System nach dessen Inverkehrbringen oder Inbetriebnahme, die in der ursprünglichen Konformitätsbewertung durch den Anbieter nicht vorgesehen oder geplant war und einen relevanten Einfluss auf die Einhaltung der Anforderungen des KI-Gesetzes durch das KI-System hat oder den vorgesehenen Zweck des KI-Systems ändert.</t>
        </r>
      </text>
    </comment>
    <comment ref="B62" authorId="0" shapeId="0" xr:uid="{F58ABE7D-233F-4563-91F5-96EE0DE6F89E}">
      <text>
        <r>
          <rPr>
            <sz val="9"/>
            <color indexed="81"/>
            <rFont val="Segoe UI"/>
            <family val="2"/>
          </rPr>
          <t>Zum Beispiel wenn Sie Sie eine Allzweck-KI-Chatbot-Lösung benutzen, um eine hochriskante KI-Aktivität durchzuführen (z.B. die Bewertung von Stellenbewerbern) obwohl der Chatbot nicht für diesen Zweck bereitgestellt worden ist.</t>
        </r>
      </text>
    </comment>
    <comment ref="B63" authorId="0" shapeId="0" xr:uid="{B814E1CC-35E0-43F2-AB79-2778700ABDB5}">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 Inbetriebnahme bedeutet, das System für den Erstgebrauch durch einen Betreiber (d.h. einen Dritten, der es unter eigener Verantwortung nutzt) zu liefern oder es selbst in der EU zu nutzen (für eigene interne Zwecke oder zur Erbringung einer Dienstleistung für andere).</t>
        </r>
      </text>
    </comment>
    <comment ref="B64" authorId="0" shapeId="0" xr:uid="{7E364E36-684D-458D-9FBF-00CA45F6B0F6}">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t>
        </r>
      </text>
    </comment>
    <comment ref="B65" authorId="0" shapeId="0" xr:uid="{2D7B7321-7C4B-4B3C-8806-E776766B37E0}">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t>
        </r>
      </text>
    </comment>
    <comment ref="B71" authorId="0" shapeId="0" xr:uid="{FE4E9E12-7454-4BE0-8DA6-7CE0185717B4}">
      <text>
        <r>
          <rPr>
            <sz val="9"/>
            <color indexed="81"/>
            <rFont val="Segoe UI"/>
            <family val="2"/>
          </rPr>
          <t>Ein gewisses Mass an Kontrolle über das KI-System wird hier verlangt werden können, damit das Kriterium erfüllt ist. Wenn Sie als Anwender den Kundenservice-Chatbot auf einer fremden Website benutzen, haben Sie keine Kontrolle über diesen, auch wenn Sie es sind, der die Wörter kontrollieren, die Sie eintippen und damit den Output des Chatbot steuern. Es ist vielmehr das betreffende Unternehmen, das definiert, wie der Chatbot auf Ihre Eingabe reagieren soll. Daher hat dieses die Verantwortung über den Chatbot. Beachten Sie, dass hier nur nach der Verwendung des KI-Systems gefragt wird, nicht des KI-Modells; die Verwendung eines KI-Modells wird unter dem AI Act grundsätzlich als Entwicklung eines KI-Systems betrachtet.</t>
        </r>
      </text>
    </comment>
    <comment ref="B72" authorId="0" shapeId="0" xr:uid="{8D141362-06D0-4FB1-8D45-F70784429DA4}">
      <text>
        <r>
          <rPr>
            <sz val="9"/>
            <color indexed="81"/>
            <rFont val="Segoe UI"/>
            <family val="2"/>
          </rPr>
          <t>Das Unternehmen hat einen Sitz in der EU; das kann auch eine Zweigniederlassung sein.</t>
        </r>
      </text>
    </comment>
    <comment ref="B73" authorId="0" shapeId="0" xr:uid="{F7A9980C-07CE-4980-9923-8C317EECD6BC}">
      <text>
        <r>
          <rPr>
            <sz val="9"/>
            <color indexed="81"/>
            <rFont val="Segoe UI"/>
            <family val="2"/>
          </rPr>
          <t>Der Output meint den vom KI-System erzeugte Inhalt sowie andere Ergebnisse, zu welchen das KI-System gekommen ist (wenn z.B. im Rahmen der Anwendung KI-generierter Text auch für Empfänger in der EU bestimmt sein wird, dann ist hier ein "Ja" zu wählen).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<sst xmlns="http://schemas.openxmlformats.org/spreadsheetml/2006/main" count="3829" uniqueCount="1585">
  <si>
    <t>1.01</t>
  </si>
  <si>
    <t>Company:</t>
  </si>
  <si>
    <t>Department:</t>
  </si>
  <si>
    <t>What is planned:</t>
  </si>
  <si>
    <t>Interests pursued:</t>
  </si>
  <si>
    <t>Providers involved and their roles:</t>
  </si>
  <si>
    <t>Description of input data:</t>
  </si>
  <si>
    <t>Description of output data:</t>
  </si>
  <si>
    <t>Project plan:</t>
  </si>
  <si>
    <t>Other aspects:</t>
  </si>
  <si>
    <t>Risk Handling</t>
  </si>
  <si>
    <t>Risk Owner</t>
  </si>
  <si>
    <t>Thresholds:</t>
  </si>
  <si>
    <t>IP</t>
  </si>
  <si>
    <t>Assessors:</t>
  </si>
  <si>
    <t xml:space="preserve"> years</t>
  </si>
  <si>
    <t>DP</t>
  </si>
  <si>
    <t>In progress</t>
  </si>
  <si>
    <r>
      <rPr>
        <vertAlign val="superscript"/>
        <sz val="9"/>
        <color theme="1"/>
        <rFont val="Calibri"/>
        <family val="2"/>
        <scheme val="minor"/>
      </rPr>
      <t>2</t>
    </r>
    <r>
      <rPr>
        <sz val="9"/>
        <color theme="1"/>
        <rFont val="Calibri"/>
        <family val="2"/>
        <scheme val="minor"/>
      </rPr>
      <t xml:space="preserve"> Levels of reputational exposure:</t>
    </r>
  </si>
  <si>
    <t>General</t>
  </si>
  <si>
    <t>Conclusion</t>
  </si>
  <si>
    <t>1.02</t>
  </si>
  <si>
    <t>1.03</t>
  </si>
  <si>
    <t>1.04</t>
  </si>
  <si>
    <t>1.05</t>
  </si>
  <si>
    <t>1.06</t>
  </si>
  <si>
    <t>1.07</t>
  </si>
  <si>
    <t>1.08</t>
  </si>
  <si>
    <t>1.09</t>
  </si>
  <si>
    <t>1.10</t>
  </si>
  <si>
    <t>The positive effects expected:</t>
  </si>
  <si>
    <t>(select)</t>
  </si>
  <si>
    <t>Comments by Legal:</t>
  </si>
  <si>
    <t>Comments by others:</t>
  </si>
  <si>
    <t>Have all residual risks been accepted?</t>
  </si>
  <si>
    <t>Are all residual risks acceptable?</t>
  </si>
  <si>
    <t>Measure</t>
  </si>
  <si>
    <t>Status</t>
  </si>
  <si>
    <t>Who?</t>
  </si>
  <si>
    <t>When?</t>
  </si>
  <si>
    <t>Description, Purpose</t>
  </si>
  <si>
    <t>Risk</t>
  </si>
  <si>
    <t>Unlikely</t>
  </si>
  <si>
    <t>Very unlikely</t>
  </si>
  <si>
    <t>Possible</t>
  </si>
  <si>
    <t>Likely</t>
  </si>
  <si>
    <t>Problematic:</t>
  </si>
  <si>
    <r>
      <rPr>
        <vertAlign val="superscript"/>
        <sz val="9"/>
        <color theme="1"/>
        <rFont val="Calibri"/>
        <family val="2"/>
        <scheme val="minor"/>
      </rPr>
      <t>3</t>
    </r>
    <r>
      <rPr>
        <sz val="9"/>
        <color theme="1"/>
        <rFont val="Calibri"/>
        <family val="2"/>
        <scheme val="minor"/>
      </rPr>
      <t xml:space="preserve"> Levels of regulatory action:</t>
    </r>
  </si>
  <si>
    <r>
      <rPr>
        <vertAlign val="superscript"/>
        <sz val="9"/>
        <color theme="1"/>
        <rFont val="Calibri"/>
        <family val="2"/>
        <scheme val="minor"/>
      </rPr>
      <t>4</t>
    </r>
    <r>
      <rPr>
        <sz val="9"/>
        <color theme="1"/>
        <rFont val="Calibri"/>
        <family val="2"/>
        <scheme val="minor"/>
      </rPr>
      <t xml:space="preserve"> Levels of criminal action:</t>
    </r>
  </si>
  <si>
    <t>Wealth Management</t>
  </si>
  <si>
    <t>Contractual provisions for processing CID</t>
  </si>
  <si>
    <t>Legal</t>
  </si>
  <si>
    <t>Planned</t>
  </si>
  <si>
    <t>Proposed</t>
  </si>
  <si>
    <t>Make sure that CID does normally not leave Switzerland in order to increase protection against foreign lawful access.</t>
  </si>
  <si>
    <t>Contractual provisions for applying Swiss data protection law</t>
  </si>
  <si>
    <t xml:space="preserve">- Solution can no longer be used
- We are held liable for the infringement
</t>
  </si>
  <si>
    <t>Opt-out from content filtering</t>
  </si>
  <si>
    <t>Opt-out from abuse monitoring and human review</t>
  </si>
  <si>
    <t>Settings check</t>
  </si>
  <si>
    <t>Verify that opt-out is implemented via appropriate configurations.</t>
  </si>
  <si>
    <t>Training or fine-tuning:</t>
  </si>
  <si>
    <t>1.11</t>
  </si>
  <si>
    <t>Unclear</t>
  </si>
  <si>
    <t>Contractual indemnities in case of IP claims due to the use of Azure OpenAI services</t>
  </si>
  <si>
    <t>We become liable for activities of other joint controllers that may exist in our setup.</t>
  </si>
  <si>
    <t>Ethics</t>
  </si>
  <si>
    <t>Secrecy</t>
  </si>
  <si>
    <t>Quality</t>
  </si>
  <si>
    <t>Our input infringes copyrights or other IP rights of third parties.</t>
  </si>
  <si>
    <t xml:space="preserve">Our input infringes secrecy rights of third parties. </t>
  </si>
  <si>
    <t>DP, Quality</t>
  </si>
  <si>
    <t>- We lose control of our secrets or IP
- We are held liable for the infringement
- Breach of banking secrecy</t>
  </si>
  <si>
    <t>- We have a contract that prohibits this
- There is no indication that it is breached</t>
  </si>
  <si>
    <t>- Reputational issues</t>
  </si>
  <si>
    <t>Contractual provision regarding purpose limitation</t>
  </si>
  <si>
    <t>Verification that abuse monitoring is deactivated</t>
  </si>
  <si>
    <t>Bank ABC</t>
  </si>
  <si>
    <t>Peter Parker</t>
  </si>
  <si>
    <t xml:space="preserve">- We are not involved in the training
- Only public sources have been used
</t>
  </si>
  <si>
    <t>Assessment Grid for the "Delphi" method</t>
  </si>
  <si>
    <t>First Round of Assessments</t>
  </si>
  <si>
    <t>Second Round of Assessments</t>
  </si>
  <si>
    <t>Number of participants:</t>
  </si>
  <si>
    <t>Average</t>
  </si>
  <si>
    <t>to use</t>
  </si>
  <si>
    <t>P1</t>
  </si>
  <si>
    <t>P2</t>
  </si>
  <si>
    <t>P3</t>
  </si>
  <si>
    <t>P4</t>
  </si>
  <si>
    <t>P5</t>
  </si>
  <si>
    <t>N/A</t>
  </si>
  <si>
    <t>0</t>
  </si>
  <si>
    <t>1</t>
  </si>
  <si>
    <t>Low</t>
  </si>
  <si>
    <t>Medium</t>
  </si>
  <si>
    <t>High</t>
  </si>
  <si>
    <t>Very High</t>
  </si>
  <si>
    <t>Our exposure</t>
  </si>
  <si>
    <t>Overall risk</t>
  </si>
  <si>
    <r>
      <t>Regulatory action</t>
    </r>
    <r>
      <rPr>
        <b/>
        <vertAlign val="superscript"/>
        <sz val="11"/>
        <color theme="0"/>
        <rFont val="Calibri"/>
        <family val="2"/>
        <scheme val="minor"/>
      </rPr>
      <t>3</t>
    </r>
  </si>
  <si>
    <r>
      <t>Financial harm</t>
    </r>
    <r>
      <rPr>
        <b/>
        <vertAlign val="superscript"/>
        <sz val="11"/>
        <color theme="0"/>
        <rFont val="Calibri"/>
        <family val="2"/>
        <scheme val="minor"/>
      </rPr>
      <t>1</t>
    </r>
  </si>
  <si>
    <r>
      <t>Reputational harm</t>
    </r>
    <r>
      <rPr>
        <b/>
        <vertAlign val="superscript"/>
        <sz val="11"/>
        <color theme="0"/>
        <rFont val="Calibri"/>
        <family val="2"/>
        <scheme val="minor"/>
      </rPr>
      <t>2</t>
    </r>
  </si>
  <si>
    <r>
      <t>Criminal action</t>
    </r>
    <r>
      <rPr>
        <b/>
        <vertAlign val="superscript"/>
        <sz val="11"/>
        <color theme="0"/>
        <rFont val="Calibri"/>
        <family val="2"/>
        <scheme val="minor"/>
      </rPr>
      <t>4</t>
    </r>
  </si>
  <si>
    <r>
      <rPr>
        <vertAlign val="superscript"/>
        <sz val="9"/>
        <color theme="1"/>
        <rFont val="Calibri"/>
        <family val="2"/>
        <scheme val="minor"/>
      </rPr>
      <t>5</t>
    </r>
    <r>
      <rPr>
        <sz val="9"/>
        <color theme="1"/>
        <rFont val="Calibri"/>
        <family val="2"/>
        <scheme val="minor"/>
      </rPr>
      <t xml:space="preserve"> Levels of harm to the individual:</t>
    </r>
  </si>
  <si>
    <t>Their exposure</t>
  </si>
  <si>
    <t>1.12</t>
  </si>
  <si>
    <t>1.13</t>
  </si>
  <si>
    <t>2.01</t>
  </si>
  <si>
    <t>2.02</t>
  </si>
  <si>
    <t>Why the data processing is necessary or there is no less intrusive approach from the point of view of the data subjects:</t>
  </si>
  <si>
    <t>Why data processing is adheres to data minimization, is limited in time to what is necessary, and otherwise proportionate:</t>
  </si>
  <si>
    <r>
      <t>Harm to individuals</t>
    </r>
    <r>
      <rPr>
        <b/>
        <vertAlign val="superscript"/>
        <sz val="11"/>
        <color theme="0"/>
        <rFont val="Calibri"/>
        <family val="2"/>
        <scheme val="minor"/>
      </rPr>
      <t>5</t>
    </r>
  </si>
  <si>
    <r>
      <t xml:space="preserve">Technical and Organizational Measures </t>
    </r>
    <r>
      <rPr>
        <sz val="12"/>
        <color theme="1"/>
        <rFont val="Calibri"/>
        <family val="2"/>
        <scheme val="minor"/>
      </rPr>
      <t>(to mitigate harm to the company and the individuals)</t>
    </r>
  </si>
  <si>
    <r>
      <t xml:space="preserve">Risk Assessment </t>
    </r>
    <r>
      <rPr>
        <sz val="12"/>
        <color theme="1"/>
        <rFont val="Calibri"/>
        <family val="2"/>
        <scheme val="minor"/>
      </rPr>
      <t>(for both the company and the individuals)</t>
    </r>
  </si>
  <si>
    <t>High risk:</t>
  </si>
  <si>
    <t>Medium risk:</t>
  </si>
  <si>
    <t>Comments by DPO:</t>
  </si>
  <si>
    <t>Comments by Compliance:</t>
  </si>
  <si>
    <t>Data Protection Impact Assessment (DPIA):</t>
  </si>
  <si>
    <t>DP, Ethics</t>
  </si>
  <si>
    <t>Risk area</t>
  </si>
  <si>
    <t>DPIA</t>
  </si>
  <si>
    <t>(for DPIA purposes)</t>
  </si>
  <si>
    <t>In Place</t>
  </si>
  <si>
    <t xml:space="preserve">Status:   </t>
  </si>
  <si>
    <t>DP, IP, Secrecy</t>
  </si>
  <si>
    <t>Implementation, Comments</t>
  </si>
  <si>
    <t>Status and date of risk assessment:</t>
  </si>
  <si>
    <t>Steps still to do:</t>
  </si>
  <si>
    <t>Do high risks remain for data subjects?</t>
  </si>
  <si>
    <t>DP, Secrecy</t>
  </si>
  <si>
    <t>DP, General</t>
  </si>
  <si>
    <t>Our input is perceived as unethical.</t>
  </si>
  <si>
    <t>Risks related to the input we use for our genAI system (i.e. the "prompts"), despite the above measures in place</t>
  </si>
  <si>
    <t>Risks related to the output generated by our genAI system (i.e. the "completions") when used as intended, despite the above measures in place</t>
  </si>
  <si>
    <t>No, they are covered elsewhere</t>
  </si>
  <si>
    <t>The output is biased and we use it without detecting this.</t>
  </si>
  <si>
    <t>The output is incomplete and we use it without detecting this.</t>
  </si>
  <si>
    <t>- Security measures (including a backup) will prevent such data breach</t>
  </si>
  <si>
    <t>Other risks related to the overall solution (not only AI), despite the above measures in place</t>
  </si>
  <si>
    <t>Our use of AI violates anti-trust law.</t>
  </si>
  <si>
    <t>General risks related to our use of genAI, despite the above measures in place</t>
  </si>
  <si>
    <t>Our use of AI results in an unintended refusal of services to people.</t>
  </si>
  <si>
    <t>Our training infringes copyrights or other IP rights of third parties.</t>
  </si>
  <si>
    <t>Our training infringes secrecy rights of third parties.</t>
  </si>
  <si>
    <t>Our training lacks the necessary quality (e.g., avoiding bias and discrimination, errors, subject matter coverage).</t>
  </si>
  <si>
    <t>The model's original training infringed copyright or other IP rights of third parties</t>
  </si>
  <si>
    <t>The model's original training infringed secrecy rights of third parties.</t>
  </si>
  <si>
    <t>The manner how we train otherwise infringes data protection or personality rights of third parties.</t>
  </si>
  <si>
    <t xml:space="preserve">The provider misuses our content for own training (i.e. w/o authorization). </t>
  </si>
  <si>
    <t>IP, Secrecy</t>
  </si>
  <si>
    <t>We unintentionally cause the provider to include our secrets or IP in its model.</t>
  </si>
  <si>
    <t>Risks related to the genAI model we use and its training by its creator and us (including by retrieval-augmented generation), despite the above measures in place</t>
  </si>
  <si>
    <t>We use personal data for training without having the right to do so under applicable data protection and personality law.</t>
  </si>
  <si>
    <t>Our input is otherwise breaches law (e.g., use of illegal content) or applicable acceptable use policies.</t>
  </si>
  <si>
    <t>Our use of the output infringes copyright or other IP rights of third parties (e.g., because it contains protected third party works for which we have no license).</t>
  </si>
  <si>
    <t>The output is defamatory or disparaging and we use it without detecting this.</t>
  </si>
  <si>
    <t>Our use of AI or our related compliance work fail to meet applicable AI regulations (e.g., prohibited applications, lack of risk management, lack of documentation)</t>
  </si>
  <si>
    <t>Our use of the solution or our related compliance work fail to meet applicable non-AI regulations (e.g., industry specific requirements).</t>
  </si>
  <si>
    <t>The AI features relied upon by us are no longer available in the form we need.</t>
  </si>
  <si>
    <t>Are operational risks to be covered here?</t>
  </si>
  <si>
    <t>The output otherwise breaches law (e.g., illegal content) or applicable acceptable use policies and we nevertheless use it.</t>
  </si>
  <si>
    <t>We use personal data as input without having the right to do so under applicable data protection and personality law (e.g., sensitive data, data of third parties, use for an unjustified purpose).</t>
  </si>
  <si>
    <t>We do not comply with privacy notice and other transparency requirements (not specifically related to our use of AI).</t>
  </si>
  <si>
    <t>The output contains personal data and we use it without having the right to do so under applicable data protection and personality law (e.g., data of unrelated people, sensitive data, failure to de-identify where necessary).</t>
  </si>
  <si>
    <t>We receive an objection (or withdrawal of consent) concerning the processing of personal data that we are not able to properly comply with.</t>
  </si>
  <si>
    <t>We receive a deletion request that we are not able to properly comply with.</t>
  </si>
  <si>
    <t>We receive a correction request that we are not able to properly comply with.</t>
  </si>
  <si>
    <t>We receive a data portability request that we are not able to properly comply with.</t>
  </si>
  <si>
    <t>We receive an access right requests that we are not able to properly comply with.</t>
  </si>
  <si>
    <t>Our use of the output otherwise infringes data protection or personality rights of third parties (e.g., too much personal data, data not reasonably expected, unfair use).</t>
  </si>
  <si>
    <t>Not planned</t>
  </si>
  <si>
    <t>Ops</t>
  </si>
  <si>
    <t>Accepted</t>
  </si>
  <si>
    <t>- This does not involve the data subjects of our processing activity</t>
  </si>
  <si>
    <t>Our training otherwise breaches law (e.g., use of illegal content) or applicable acceptable use policies.</t>
  </si>
  <si>
    <t>"Low temperature"</t>
  </si>
  <si>
    <t>We use the LLM with a very low temperature, reducing the risk of hallucination</t>
  </si>
  <si>
    <t>Dev</t>
  </si>
  <si>
    <t>We relied on consent that turns out to be invalid (e.g., lack of information, lack of voluntariness).</t>
  </si>
  <si>
    <t>We failed to provide the necessary human consultation where an automated individual decision/profiling requires so.</t>
  </si>
  <si>
    <t>Application owner:</t>
  </si>
  <si>
    <t>Name of application:</t>
  </si>
  <si>
    <t>Area in which the application is to be used:</t>
  </si>
  <si>
    <t>Step 4:</t>
  </si>
  <si>
    <t>Step 1:</t>
  </si>
  <si>
    <t>Description of Application</t>
  </si>
  <si>
    <t>Step 2:</t>
  </si>
  <si>
    <r>
      <t>Document Necessity and Proportionality</t>
    </r>
    <r>
      <rPr>
        <sz val="12"/>
        <color theme="1"/>
        <rFont val="Calibri"/>
        <family val="2"/>
        <scheme val="minor"/>
      </rPr>
      <t xml:space="preserve"> (only required for DPIA purposes)</t>
    </r>
  </si>
  <si>
    <t>Step 3:</t>
  </si>
  <si>
    <t>Step 5:</t>
  </si>
  <si>
    <t>Answer</t>
  </si>
  <si>
    <t>Comments</t>
  </si>
  <si>
    <t>Yes</t>
  </si>
  <si>
    <r>
      <t>… involve personal data?</t>
    </r>
    <r>
      <rPr>
        <vertAlign val="superscript"/>
        <sz val="10"/>
        <color theme="1"/>
        <rFont val="Calibri"/>
        <family val="2"/>
        <scheme val="minor"/>
      </rPr>
      <t>1</t>
    </r>
  </si>
  <si>
    <t>… be considered an invasion of privacy?</t>
  </si>
  <si>
    <t>Could the application in any way …</t>
  </si>
  <si>
    <r>
      <t>… involve third party secrets</t>
    </r>
    <r>
      <rPr>
        <vertAlign val="superscript"/>
        <sz val="10"/>
        <color theme="1"/>
        <rFont val="Calibri"/>
        <family val="2"/>
        <scheme val="minor"/>
      </rPr>
      <t>1</t>
    </r>
  </si>
  <si>
    <r>
      <t>… involve own secrets?</t>
    </r>
    <r>
      <rPr>
        <vertAlign val="superscript"/>
        <sz val="10"/>
        <color theme="1"/>
        <rFont val="Calibri"/>
        <family val="2"/>
        <scheme val="minor"/>
      </rPr>
      <t>1</t>
    </r>
  </si>
  <si>
    <r>
      <t>… involve third party IP?</t>
    </r>
    <r>
      <rPr>
        <vertAlign val="superscript"/>
        <sz val="10"/>
        <color theme="1"/>
        <rFont val="Calibri"/>
        <family val="2"/>
        <scheme val="minor"/>
      </rPr>
      <t>1</t>
    </r>
  </si>
  <si>
    <r>
      <t>… involve own IP?</t>
    </r>
    <r>
      <rPr>
        <vertAlign val="superscript"/>
        <sz val="10"/>
        <color theme="1"/>
        <rFont val="Calibri"/>
        <family val="2"/>
        <scheme val="minor"/>
      </rPr>
      <t>1</t>
    </r>
  </si>
  <si>
    <t>No</t>
  </si>
  <si>
    <t>Basic Compliance Check</t>
  </si>
  <si>
    <t>… harm third parties?</t>
  </si>
  <si>
    <r>
      <rPr>
        <vertAlign val="superscript"/>
        <sz val="9"/>
        <color theme="1"/>
        <rFont val="Calibri"/>
        <family val="2"/>
        <scheme val="minor"/>
      </rPr>
      <t>1</t>
    </r>
    <r>
      <rPr>
        <sz val="9"/>
        <color theme="1"/>
        <rFont val="Calibri"/>
        <family val="2"/>
        <scheme val="minor"/>
      </rPr>
      <t xml:space="preserve"> In the form of input, of output or otherwise.</t>
    </r>
  </si>
  <si>
    <t>… relate to contracts with 3rd parties?</t>
  </si>
  <si>
    <t>Assessment period:</t>
  </si>
  <si>
    <t>Not yet</t>
  </si>
  <si>
    <t>A</t>
  </si>
  <si>
    <t>E</t>
  </si>
  <si>
    <t>P</t>
  </si>
  <si>
    <t>C</t>
  </si>
  <si>
    <t>F</t>
  </si>
  <si>
    <t>B</t>
  </si>
  <si>
    <t>D</t>
  </si>
  <si>
    <t>G</t>
  </si>
  <si>
    <t>H</t>
  </si>
  <si>
    <t>I</t>
  </si>
  <si>
    <t>J</t>
  </si>
  <si>
    <t>K</t>
  </si>
  <si>
    <t>L</t>
  </si>
  <si>
    <t>M</t>
  </si>
  <si>
    <t>N</t>
  </si>
  <si>
    <t>O</t>
  </si>
  <si>
    <t>Requirement</t>
  </si>
  <si>
    <t>Collection and use of personal data is fair</t>
  </si>
  <si>
    <t>Collection and use of data is limited to the purposes for which the data has been collected (or compatible purposes)</t>
  </si>
  <si>
    <t>The collection and use of personal data is limited to what is necessary</t>
  </si>
  <si>
    <t>Proper confidentiality and "defend-your-data" clauses are in place with those third parties who get access to secret data</t>
  </si>
  <si>
    <t>Collection and use of personal data has a legal basis or justification insofar required</t>
  </si>
  <si>
    <t>Adequate data processing agreement with all relevant providers are in place</t>
  </si>
  <si>
    <t>Necessary secrecy waivers are in place</t>
  </si>
  <si>
    <t>End-user instructions/training on how to properly use the application</t>
  </si>
  <si>
    <t>Instructions/training on how to properly set up, operate and maintain the application</t>
  </si>
  <si>
    <t>Compliance with data subject rights ensured</t>
  </si>
  <si>
    <t>Conditions for international transfers are complied with</t>
  </si>
  <si>
    <t>Data sharing and joint controller agreements are in place insofar necessary</t>
  </si>
  <si>
    <t>Rules for automated individual decisions are complied with insofar applicable</t>
  </si>
  <si>
    <t>IP, General</t>
  </si>
  <si>
    <t>DP, Secrecy, IP, General</t>
  </si>
  <si>
    <t>Necessary steps have been taken to avoid deceiving or misleading third parties as applicable</t>
  </si>
  <si>
    <t>Necessary steps have been taken to avoid misuse of a dominant position as applicable</t>
  </si>
  <si>
    <t>Necessary steps have been taken to avoid illegal coordination among market participants as applicable</t>
  </si>
  <si>
    <t>Review of our contracts has revealed no conflict with the planned application</t>
  </si>
  <si>
    <t>We understand what our stakeholders expect from us with regard to our use of the application and comply with it</t>
  </si>
  <si>
    <t>General, Ethics</t>
  </si>
  <si>
    <t>The application, its implementation and its use is in line with our internal policies and procedures</t>
  </si>
  <si>
    <t>… be subject to special regulations?</t>
  </si>
  <si>
    <r>
      <t>Covered?</t>
    </r>
    <r>
      <rPr>
        <vertAlign val="superscript"/>
        <sz val="10"/>
        <color theme="0"/>
        <rFont val="Calibri"/>
        <family val="2"/>
        <scheme val="minor"/>
      </rPr>
      <t>1</t>
    </r>
  </si>
  <si>
    <t>AB</t>
  </si>
  <si>
    <t>ABC</t>
  </si>
  <si>
    <t>Selector</t>
  </si>
  <si>
    <r>
      <t>Relevant</t>
    </r>
    <r>
      <rPr>
        <vertAlign val="superscript"/>
        <sz val="10"/>
        <color theme="0"/>
        <rFont val="Calibri"/>
        <family val="2"/>
        <scheme val="minor"/>
      </rPr>
      <t>2</t>
    </r>
  </si>
  <si>
    <t>AC</t>
  </si>
  <si>
    <t>Personal data and secret data is deleted or anonymized when no longer used</t>
  </si>
  <si>
    <t>Principle of "need to know" followed where granting access to personal data or secret data</t>
  </si>
  <si>
    <t>ABCD</t>
  </si>
  <si>
    <t>Necessary steps have been taken to use third party IP or content as applicable</t>
  </si>
  <si>
    <t>CDF</t>
  </si>
  <si>
    <t>all</t>
  </si>
  <si>
    <t>ACEGHI</t>
  </si>
  <si>
    <t>BCHI</t>
  </si>
  <si>
    <t>BHJK</t>
  </si>
  <si>
    <t>... be important for our business?</t>
  </si>
  <si>
    <t>LO</t>
  </si>
  <si>
    <t>The application has been properly tested in view of its criticality</t>
  </si>
  <si>
    <t>HINO</t>
  </si>
  <si>
    <t>ANO</t>
  </si>
  <si>
    <t>BHIKOP</t>
  </si>
  <si>
    <t>ABP</t>
  </si>
  <si>
    <t>ABOP</t>
  </si>
  <si>
    <t>MNP</t>
  </si>
  <si>
    <t>Filter</t>
  </si>
  <si>
    <t xml:space="preserve">For example, applications that determine behaviour of individuals, profile or track them, even if they don't process personal data. </t>
  </si>
  <si>
    <t>Description</t>
  </si>
  <si>
    <t>Any non-public information that the organization itself wishes to keep secret (e.g., trade secrets)</t>
  </si>
  <si>
    <t>Any copyrighted works, protected know-how or other intellectual property controlled by a third-party (e.g., software, licensed content). It may also included patents or trademarks.</t>
  </si>
  <si>
    <t>Any copyrighted works, protected know-how or other intellectual property controlled by the organization itself. It may also included patents or trademarks.</t>
  </si>
  <si>
    <t>For example, applications used to provide products or services by the organization or otherwise perform a contract, the use of information provided under a contract, or information related to a contract party.</t>
  </si>
  <si>
    <t>For example, by making decisions on whether and how the organization will procure products or services.</t>
  </si>
  <si>
    <t>… negatively affect our customers?</t>
  </si>
  <si>
    <t>… negatively affect our suppliers?</t>
  </si>
  <si>
    <t>… negatively affect our employees?</t>
  </si>
  <si>
    <t>… negatively affect the market?</t>
  </si>
  <si>
    <t>Determine Relevant Compliance &amp; Risk Areas</t>
  </si>
  <si>
    <t xml:space="preserve">For example, policies and other rules on outsourcing, security, use of IP or personal data, ethics guidelines. </t>
  </si>
  <si>
    <t>Any form of negative impact on third parties, whether employees, customers, competitors, the public or others, even if such negative impact would be "legal".</t>
  </si>
  <si>
    <t>Any information related to an identified or identifiable individual (e.g., contact data, communications, pictures, voice recordings). This may result in data protection and privacy laws apply.</t>
  </si>
  <si>
    <t>… be regarded questionable by anyone?</t>
  </si>
  <si>
    <t>For example, any intended or unintended coordination or among market participants, deception, misleading of others, spreading of disparaging information and other form of unfair competition.</t>
  </si>
  <si>
    <t>This is about the organization's use of the application and how third parties or the public would feel about it. Could it cause negative media headlines? Would some find it unethical? Would people be concerned or could they feel uncomfortable about it?</t>
  </si>
  <si>
    <t>CHIK</t>
  </si>
  <si>
    <t xml:space="preserve">We monitor how the application works, the effects it has and regularly re-evaluate all of this; we keep generated logs </t>
  </si>
  <si>
    <t>ABHIOPJ</t>
  </si>
  <si>
    <t>There are adequate quality control measures where the application's output could have consequences for individuals</t>
  </si>
  <si>
    <t>We have fulfilled our labour law obligations towards our employees.</t>
  </si>
  <si>
    <t>For example, applications that support or take decisions that may be negative for some employees, surveillance or profiling, replacement of employees.</t>
  </si>
  <si>
    <t>… be subject to internal rules?</t>
  </si>
  <si>
    <t xml:space="preserve">Most providers offer such "DPAs", as provided for by data protection law (e.g., Art. 28 GDPR, Art. 8 CH-DPA). A DPA requires the processor to act under instruction of the customer and provide for adequate data security. </t>
  </si>
  <si>
    <t>Some data protection laws require that you have a legal basis before collecting or otherwise using personal data. This could be consent, a contract to perform, a legal obligation or, where permitted, a legitimate interest.</t>
  </si>
  <si>
    <t>Consider this requirement from the perspective of the individuals about whom you process personal data.</t>
  </si>
  <si>
    <t>Do only those have access to the data at issue that need it for their work? Will the selection of the data be limited to what is necessary? Is this also true for data that is to be disclosed? Are the recipients all "need to know"?</t>
  </si>
  <si>
    <t>Will the data at issue be kept only as long as necessary and deleted/anonymized thereafter? Will access to it be restricted where this is reasonably possible?</t>
  </si>
  <si>
    <t>They include the access right, the right to have data corrected, the right to object and restrict processing, the right to deletion, the right to withdraw consent and the data portability right.</t>
  </si>
  <si>
    <t>Transfers of personal data to countries without an adequate level of data protection require safeguards (e.g., EU SCC), unless the organization can rely on an exception (such as explicit consent, contract performance).</t>
  </si>
  <si>
    <t>Where data is being shared with others or controlled with others, agreements between the parties involved may be necessary or recommended.</t>
  </si>
  <si>
    <t>Fully automated decisions concerning individuals are restricted under some data protection laws and may trigger the right have decisions reviewed by humans.</t>
  </si>
  <si>
    <t>A confidentiality obligation (e.g., NDA) should be agreed with those who get access (including the provider), with an obligation to defend such data against any form of lawful access.</t>
  </si>
  <si>
    <t>There must be adequate technical and organizational measures of security to protect the data against data breaches and ensure business continuity (e.g., with backups).</t>
  </si>
  <si>
    <t xml:space="preserve">This refers to the technical staff responsible for setting up, operating and maintaining the application. </t>
  </si>
  <si>
    <t xml:space="preserve">This refers to the users of the application. </t>
  </si>
  <si>
    <t>Where the application involves any use or reliance on third party IP or other content, the organization has obtained the necessary rights (e.g., via licenses) unless it can rely on statutory exemptions).</t>
  </si>
  <si>
    <t>This may involve quality controls on the output of the application, as well as informing users or the public about the use of AI.</t>
  </si>
  <si>
    <t xml:space="preserve">Such coordination (e.g., regarding pricing) could, for example, result from the exchange of information (e.g., by jointly developing models for pricing). </t>
  </si>
  <si>
    <t>This could relate to the use of terms &amp; conditions in connection with the application, or how it is made available or under which conditions (e.g., permission for use of data).</t>
  </si>
  <si>
    <t>For example, with regard to the accuracy and reliability of the output created by the application, or decisions or decision recommendations supposedly made by it.</t>
  </si>
  <si>
    <t>For example, contracts may contain restrictions on how to use a contract party's data.</t>
  </si>
  <si>
    <t>The tests should cover both the quality of the output as well as the functionality of the application. Does it live up to its expectations?</t>
  </si>
  <si>
    <t>Stakeholders could be customers, employees, suppliers, shareholders, the public and others. They will usually have an expecation on how the organization "behaves" that is independent of the rules set forth by law. These "ethical" expectations will differ from organization to organization.</t>
  </si>
  <si>
    <t>General, Quality</t>
  </si>
  <si>
    <t>DP, General, Quality</t>
  </si>
  <si>
    <t>DP, General, Quality, Ethics</t>
  </si>
  <si>
    <t>Categories of personal data, if any:</t>
  </si>
  <si>
    <t>Categories of data subjects, if any:</t>
  </si>
  <si>
    <t>Status and date of compliance assessment:</t>
  </si>
  <si>
    <t>Fade-out questions that are unlikely relevant as per the answers above:</t>
  </si>
  <si>
    <r>
      <t xml:space="preserve">Description of Application </t>
    </r>
    <r>
      <rPr>
        <sz val="12"/>
        <color theme="1"/>
        <rFont val="Calibri"/>
        <family val="2"/>
        <scheme val="minor"/>
      </rPr>
      <t>(values taken from main page)</t>
    </r>
  </si>
  <si>
    <t>Scope of assessment includes:</t>
  </si>
  <si>
    <t>Scope of assessment does not include:</t>
  </si>
  <si>
    <t>We have done a Data Protection Impact Assessment (DPIA) and it did not result in any high or otherwise unacceptable risks</t>
  </si>
  <si>
    <t>An adequate level of data security is ensured, including business continuity; we have done a risk assessment and it did not result in any unacceptable risks</t>
  </si>
  <si>
    <t>We have done a general risk assessment of the application and it did not result in any unacceptable risks</t>
  </si>
  <si>
    <t>A DPIA is required as per many data protection laws for high risk applications to ensure that the individuals about whom personal data is processed will not suffer unacceptable risks and to determine additional measures necessary.</t>
  </si>
  <si>
    <t>The general risk assessment covers, in addition to a DPIA and information security risk assessment, other aspects such as AI, operational, commercial, compliance and reputational risks.</t>
  </si>
  <si>
    <t>Records of AI Activities (ROAIA)</t>
  </si>
  <si>
    <t>ID</t>
  </si>
  <si>
    <t>Owner</t>
  </si>
  <si>
    <t>GAIRA</t>
  </si>
  <si>
    <t>Audience</t>
  </si>
  <si>
    <t>Purpose</t>
  </si>
  <si>
    <t>Done</t>
  </si>
  <si>
    <t>Risk Level</t>
  </si>
  <si>
    <t>Next assessment</t>
  </si>
  <si>
    <t>ROAIA maintained by:</t>
  </si>
  <si>
    <t>Date:</t>
  </si>
  <si>
    <t>We have included the application in our Records of AI Activities.</t>
  </si>
  <si>
    <t>The ROAIA table allows the organization to keep track of its activities in the AI area.</t>
  </si>
  <si>
    <t>ABC Chatbot</t>
  </si>
  <si>
    <t>An internal AI-based chatbot for all users</t>
  </si>
  <si>
    <t>Susan Mellow</t>
  </si>
  <si>
    <t>All employees</t>
  </si>
  <si>
    <t>Compl.-check</t>
  </si>
  <si>
    <t>Comments by application owner:</t>
  </si>
  <si>
    <t>The integrity of the personal data we process with the application is breached (unrelated to our use of AI, e.g., due to errors in the vectorization of our data).</t>
  </si>
  <si>
    <t>There is a permanent loss of personal data we process with the application and need (unrelated to our use of AI).</t>
  </si>
  <si>
    <t>We keep personal data for too long with the application (unrelated to our use of AI).</t>
  </si>
  <si>
    <t>We provide too many people access to personal data we process with the application(unrelated to our use of AI).</t>
  </si>
  <si>
    <t>If the risk materializes, what could be the negative effects for individuals?</t>
  </si>
  <si>
    <t>Comments (e.g., assumptions, "to dos")</t>
  </si>
  <si>
    <r>
      <rPr>
        <b/>
        <sz val="11"/>
        <color theme="1"/>
        <rFont val="Calibri"/>
        <family val="2"/>
        <scheme val="minor"/>
      </rPr>
      <t>Note:</t>
    </r>
    <r>
      <rPr>
        <sz val="11"/>
        <color theme="1"/>
        <rFont val="Calibri"/>
        <family val="2"/>
        <scheme val="minor"/>
      </rPr>
      <t xml:space="preserve"> The owner listed above is responsible for keeping this ROAIA up-to-date and accurate with regard to his/her application. Updates should be sent to the maintainer of the ROAIA. The entries should be reviewed at least once a year.</t>
    </r>
  </si>
  <si>
    <t>Deployed</t>
  </si>
  <si>
    <t>Overall risk level:</t>
  </si>
  <si>
    <t>(to be assessed by the application owner; please include this in the ROAIA)</t>
  </si>
  <si>
    <t>(automatic value, for DPIA purposes; if the remaining risk is high, the data protection authority must be consulted)</t>
  </si>
  <si>
    <t>Yes, included in this assessment</t>
  </si>
  <si>
    <t>(to be done for higher risk processing activities)</t>
  </si>
  <si>
    <t>1.14</t>
  </si>
  <si>
    <t>For example, by making decisions on whether and how the organization will provide products or services, credit rating, by doing marketing vis-a-vis customers or by forcing customers to use AI</t>
  </si>
  <si>
    <t>Necessary steps have been taken to avoid breaching consumer protection laws as applicable</t>
  </si>
  <si>
    <t>For example, such laws may require us to inform consumers of our use of AI or allow them to interact with humans instead of only AI systems</t>
  </si>
  <si>
    <t>DP, Ethics, General</t>
  </si>
  <si>
    <t>No discrimination of individuals</t>
  </si>
  <si>
    <t>We have made sure that our use of AI does not result in a (prohibited) discrimination of individuals (e.g., ensuring that decisions are not relied upon biased models).</t>
  </si>
  <si>
    <t>ABHJOP</t>
  </si>
  <si>
    <t>HMK</t>
  </si>
  <si>
    <r>
      <rPr>
        <vertAlign val="superscript"/>
        <sz val="9"/>
        <color theme="1"/>
        <rFont val="Calibri"/>
        <family val="2"/>
        <scheme val="minor"/>
      </rPr>
      <t>1</t>
    </r>
    <r>
      <rPr>
        <sz val="9"/>
        <color theme="1"/>
        <rFont val="Calibri"/>
        <family val="2"/>
        <scheme val="minor"/>
      </rPr>
      <t xml:space="preserve"> Choose "Yes" is if you fully comply and have listed the measure in the table in Step 2 of the main page (otherwise amend the table by adding a corresponding measure). Choose "Partly" if your measure(s) will only partly ensure fulfillment of the requirement. If you choose "Not yet" if you will add a corresponding measure to the table in Step 2 of the main page (once done, change this to "Yes").</t>
    </r>
  </si>
  <si>
    <r>
      <rPr>
        <vertAlign val="superscript"/>
        <sz val="9"/>
        <color theme="1"/>
        <rFont val="Calibri"/>
        <family val="2"/>
        <scheme val="minor"/>
      </rPr>
      <t>2</t>
    </r>
    <r>
      <rPr>
        <sz val="9"/>
        <color theme="1"/>
        <rFont val="Calibri"/>
        <family val="2"/>
        <scheme val="minor"/>
      </rPr>
      <t xml:space="preserve"> This is based on the response to the questions made in Step 2. Use the filter function to hide those lines that are unlikely relevant.</t>
    </r>
  </si>
  <si>
    <t>Our use of AI otherwise results in a unintended financial or other damage to people.</t>
  </si>
  <si>
    <t>Our use of AI violates consumer protection laws or qualifies as unfair competition.</t>
  </si>
  <si>
    <t>Our use of AI results in discrimination (other than by a refusal of services).</t>
  </si>
  <si>
    <t>Source</t>
  </si>
  <si>
    <t>Art. 5</t>
  </si>
  <si>
    <t>1.15</t>
  </si>
  <si>
    <t>Provider</t>
  </si>
  <si>
    <t xml:space="preserve">Key obligations: </t>
  </si>
  <si>
    <t>-</t>
  </si>
  <si>
    <t>* Not yet final and not yet in force; basis is proposal of European Commission and the consolidated IMCO/LIBE proposal.</t>
  </si>
  <si>
    <t>EU Artificial Intelligence Act (AI Act)</t>
  </si>
  <si>
    <t>Category of AI system/practice as per EU AI Act*:</t>
  </si>
  <si>
    <t>Role of Company as perEU AI Act*:</t>
  </si>
  <si>
    <t>Combined Risk</t>
  </si>
  <si>
    <t>Max.</t>
  </si>
  <si>
    <t>For example, financial markets regulations, product safety regulations, anti-discrimination laws, consumer protection law, AI regulations.</t>
  </si>
  <si>
    <t>We understand the instructions and restrictions for use of the AI functions we use and comply with them</t>
  </si>
  <si>
    <t>Where high-risk AI products are used, the understanding and complying with the instructions and information to come with them may be mandatory according to certain regulations (e.g., EU AI Act).</t>
  </si>
  <si>
    <t>In order to detect problems with the application and its AI systems, its operation has to be monitored and evaluated for risks. Where the application (and AI systems used for it) generate logs, they are to be retained sufficiently long. For high-risk AI systems this may be mandatory under certain regulations (e.g., EU AI Act), including the reporting of serious incidents (and eventually stopping the use of the AI system).</t>
  </si>
  <si>
    <t>Necessary correctness and completeness of the input data is ensured</t>
  </si>
  <si>
    <t>Necessary correctness an completeness of the output data is ensured</t>
  </si>
  <si>
    <t xml:space="preserve">Have you made sure that all output data is accurate in view of its purpose? Are there any measures to ensure so? </t>
  </si>
  <si>
    <t xml:space="preserve">Have you made sure that all input data is accurate in view of its purpose? Are there any measures to ensure so? </t>
  </si>
  <si>
    <t>Is it ensured that personal data will only be collected and used in this manner? Does any provider reserve the right to use your data also for its own purposes, and if so, is this justified? Is there a "secondary use" of data, and if so, is it justified?</t>
  </si>
  <si>
    <t>The input data is limited to what is relevant and necessary</t>
  </si>
  <si>
    <t>Will only relevant and necessary data be provided to the AI system for processing?</t>
  </si>
  <si>
    <t>DP, Secrecy, General</t>
  </si>
  <si>
    <t>ABCO</t>
  </si>
  <si>
    <t>Compliance assessment done by (with the help of):</t>
  </si>
  <si>
    <t>Where special regulations apply (e.g., of financial market supervisory authorities or by law) compliance with them has been checked and confirmed. This also includes AI regulations (e.g., the EU AI Act).</t>
  </si>
  <si>
    <t>Ethics, General</t>
  </si>
  <si>
    <t>Individuals are informed of our use of AI systems</t>
  </si>
  <si>
    <t>Collection and use of personal data is known or transparent to affected individuals and covered in the privacy notice insofar required</t>
  </si>
  <si>
    <t>Can the individuals affected (if interested) know that you are processing their personal data? Do you make your collection and use of their data recognizable? Is there a privacy notice that covers the application?</t>
  </si>
  <si>
    <t>For example, when they are interacting with an AI system, when material decisions relating to them are undertaken by an AI system or when content that could mislead them (e.g., deep fakes) has been create by an AI system. In some cases, this is mandatory under applicable AI regulations (e.g., EU AI Act for certain systems).</t>
  </si>
  <si>
    <t>… make use of or create content about or identities of individuals?</t>
  </si>
  <si>
    <t>For example, pictures or recordings of a real individual or that could be deemed to be materials related to a real or even particular individual (e.g., deep fakes).</t>
  </si>
  <si>
    <t>BHJKMPO</t>
  </si>
  <si>
    <t>Financial Risk</t>
  </si>
  <si>
    <t>Reputational Risk</t>
  </si>
  <si>
    <t>Data Protection</t>
  </si>
  <si>
    <t>Sum</t>
  </si>
  <si>
    <t>Max</t>
  </si>
  <si>
    <t>Foreign lawful access risks assessed insofar necessary and necessary measures have been taken</t>
  </si>
  <si>
    <t>For some countries and some data, it may be necessary to assess the risk of access or seizure of such data by the local authorities in those countries. To keep the risk acceptable, special measures may be necessary such as limiting operator access, encrypting data or having it stored in defined jurisdictions that offer protection.</t>
  </si>
  <si>
    <t>List the measures or other reasons that help to prevent this (Risk Mitigation)</t>
  </si>
  <si>
    <t>If the risk materializes, what could happen to us and why? (Consequences)</t>
  </si>
  <si>
    <t>What could happen if we use the application (Risk Scenario)</t>
  </si>
  <si>
    <t>Probability of occurrence</t>
  </si>
  <si>
    <t>The model's original training infringed data protection or personality rights of third parties.</t>
  </si>
  <si>
    <t>- We build upon existing data that is known to be correct and complete as far as possible</t>
  </si>
  <si>
    <t>For example, applications that the organization relies upon for its core functions and processes; applications, where the failure or mailfunctioning could have serious consequences for the organization.</t>
  </si>
  <si>
    <t>Is it ensured that only the minimum data necessary in view of the purposes is being collected? Will the application only do with the data what is necessary for the purpose for which it has been created?</t>
  </si>
  <si>
    <t>Where the application is governed by international policies and procedures, compliance with them has been checked and confirmed.</t>
  </si>
  <si>
    <t>For example, labour law may require consultation of employees or work councils, collecting bargaining agreements may restrict the use of applications that involve employee data. Employment law may also restricts surveillance of employees.</t>
  </si>
  <si>
    <t>Classifcation</t>
  </si>
  <si>
    <t>The application, its implementation and its use is in line with applicable special regulations (including the EU AI Act, where relevant)</t>
  </si>
  <si>
    <t>This is no legal advice and is made available "as is" with no warranties. Use it at your own risk and obtain legal counsel where necessary. Please let us know of any errors. This template may be used as per the Creative Commons "Attribution-NoDerivatives 4.0 International" (CC BY-ND 4.0) license (http://creativecommons.org/licenses/by-nd/4.0/). The input fields and their content are not subject to the license. Also, new input lines may be added as needed. This template can be downloaded in the latest version at https://www.rosenthal.ch/downloads/Rosenthal_GAIRA.xlsx.</t>
  </si>
  <si>
    <r>
      <rPr>
        <b/>
        <sz val="9"/>
        <color theme="1"/>
        <rFont val="Calibri"/>
        <family val="2"/>
        <scheme val="minor"/>
      </rPr>
      <t>Instruction:</t>
    </r>
    <r>
      <rPr>
        <sz val="9"/>
        <color theme="1"/>
        <rFont val="Calibri"/>
        <family val="2"/>
        <scheme val="minor"/>
      </rPr>
      <t xml:space="preserve"> This step 2 is only necessary if you have chosen to use this form to do a data protection impact assessment (DPIA). If this is the case, then you are required to provide 2-3 sentences as an answer to the two following questions. The two questions are similar. The first question focuses on why you pursue the application (and use AI) instead of a solution that goes less far in terms of processing personal data. The second questions focuses on whether you really only collect and use data that is necessary and limit the processing to what is necessary and relevant.</t>
    </r>
  </si>
  <si>
    <r>
      <rPr>
        <b/>
        <sz val="9"/>
        <color theme="1"/>
        <rFont val="Calibri"/>
        <family val="2"/>
        <scheme val="minor"/>
      </rPr>
      <t>Instruction:</t>
    </r>
    <r>
      <rPr>
        <sz val="9"/>
        <color theme="1"/>
        <rFont val="Calibri"/>
        <family val="2"/>
        <scheme val="minor"/>
      </rPr>
      <t xml:space="preserve"> This step 3 is about you creating a list of all the technical and organizational measures that will contribute to ensuring the security, accuracy, fairness and other relevant aspects of compliance with laws and other expectations and - this is the ultimate goal - prevent or mitigate harm to the company and the individuals affected by your application. These measures can include things such as contracts with providers, instructions, consent from individuals affected, quality control measures, restrictions on use, monitoring, training, privacy notices, etc. For every measure, select the appropriate status and provide additional information to understand how the measure is or will be implemented, by whom and when. This will allow the reader to understand what has only been intended or planned, and what is already in place. Also indicate measures that you have considered, but decided not to implement and why. Do not worry if you do not have many ideas of what measures you could implement. When you will be completing the risk assessment in Step 4, you will most likely come up with more measures. If that happens, please also enter them in the below table.</t>
    </r>
  </si>
  <si>
    <r>
      <rPr>
        <b/>
        <sz val="9"/>
        <color theme="1"/>
        <rFont val="Calibri"/>
        <family val="2"/>
        <scheme val="minor"/>
      </rPr>
      <t>Instruction:</t>
    </r>
    <r>
      <rPr>
        <sz val="9"/>
        <color theme="1"/>
        <rFont val="Calibri"/>
        <family val="2"/>
        <scheme val="minor"/>
      </rPr>
      <t xml:space="preserve"> The below tables contain the values that can be selected in the above risk assessment table. You can change the text (doing so will not automatically change selections you have already made above). The values behind the text will be used to calculate the risk levels. Ultimately, the maximum risk is always 16 (4 x 4). The colored charts below indicate the color code used in the above table. You can modify the threshold for the color turning yellow (= problematic). For the DPIA, you can define what is considered a medium and high risk (which is relevant for the overall assessment).</t>
    </r>
  </si>
  <si>
    <r>
      <rPr>
        <b/>
        <sz val="9"/>
        <color theme="1"/>
        <rFont val="Calibri"/>
        <family val="2"/>
        <scheme val="minor"/>
      </rPr>
      <t>Instruction:</t>
    </r>
    <r>
      <rPr>
        <sz val="9"/>
        <color theme="1"/>
        <rFont val="Calibri"/>
        <family val="2"/>
        <scheme val="minor"/>
      </rPr>
      <t xml:space="preserve"> This step 2 serves the purpose of identifying the areas of compliance and risk that may be relevant for your application. For example, if your application may process personal data, it may have to comply with data protection law. Therefore, go through the below table and select for each item whether you have to reasonably assume that the statement could apply or not to your application. If you chose "No", please provide a comment why you do not believe that the statement applies to your application, unless the reason is obvious. The selection you make will impact the below list of compliance requirements in step 3.</t>
    </r>
  </si>
  <si>
    <r>
      <rPr>
        <b/>
        <sz val="9"/>
        <color theme="1"/>
        <rFont val="Calibri"/>
        <family val="2"/>
        <scheme val="minor"/>
      </rPr>
      <t>Instruction:</t>
    </r>
    <r>
      <rPr>
        <sz val="9"/>
        <color theme="1"/>
        <rFont val="Calibri"/>
        <family val="2"/>
        <scheme val="minor"/>
      </rPr>
      <t xml:space="preserve"> This step 3 is the compliance check. It is only a basic compliance check to give you an indication of areas where you may have an issue and will have to a deep dive. For each requirement, choose whether you believe that it is fulfilled (or "covered"). If you conclude that this is not yet the case, but can be achieved with a further measure (e.g., conclusion of a contract, issuing a policy), then include the measure in step 2 of the main GAIRA worksheet. Until that has happened, select "Not yet" as a value. If a requirement is and will not be fulfilled, select "No". You can add further comments. Column G is "only" used to indicate which requirement is likely relevant or not for your application, based on the selection made in step 2 above. You have two options: You can use the below selector to have those requirements faded out that are likely not relevant to your application. Alternatively, you can use the "autofilter" feature at the top of the table of column G and have only those lines showed that contain a "Likely". Be sure to reset the filter once you make changes in step 2.</t>
    </r>
  </si>
  <si>
    <t>Author: David Rosenthal (drosenthal@vischer.com), VISCHER Legal Innovation Lab. All rights reserved. Thank you to all that have helped in creating and improving this tool, in particular Jonas Baeriswyl (VISCHER) and Elias Mühlemann (VISCHER).</t>
  </si>
  <si>
    <t>Any non-public information that has been provided under a legitimate expectation of secrecy (e.g., under an NDA or where an organization or person is subject to professional or official secrecy). Unfair competition law also often protects trade or manufacturing secrets.</t>
  </si>
  <si>
    <t>Depending on who may get access to the data at issue, it may be necessary to obtain waiver from the owner of the secret.</t>
  </si>
  <si>
    <t>Project Alpha</t>
  </si>
  <si>
    <t>The implementation and use of the system.</t>
  </si>
  <si>
    <t>The underlying cloud infrastructure (i.e. our tenant), including its security</t>
  </si>
  <si>
    <t>The bank wishes to increase the quality and completeness of the data it maintains with regard to its clients, and wishes to increase the efficiency of its relationship managers.</t>
  </si>
  <si>
    <t>We use the DeltaPI-4 LLM, and CloudCo's service with which we can make available the LLM in our own CloudCo tenant.</t>
  </si>
  <si>
    <t xml:space="preserve">CloudCo will be our provider who both runs our tenant (in a Swiss data center) and provides the AI services, through which we can make use of the DeltaPI-4 model. We have also used SoftCo as our implementation partner. </t>
  </si>
  <si>
    <t>The input are the recordings of meetings and phone calls, the e-mails received from the client and other communications. We further allow the application to access the client's existing CRM records.</t>
  </si>
  <si>
    <t>The output are the transcripts, the summaries and the data extracted, with all such output being imported into the CRM.</t>
  </si>
  <si>
    <t>No training of the model; prompts are augmented by existing CRM records.</t>
  </si>
  <si>
    <t>Meetings of our relationship managers with our wealth management clients.</t>
  </si>
  <si>
    <t>Content of meetings, content of communications (calls, e-mails, letters).</t>
  </si>
  <si>
    <t>A pilot phase in Q2 2024 with a full roll-out in Q3 2024.</t>
  </si>
  <si>
    <t>The bank has opt-out from the CloudCo's content filtering and abuse monitoring.</t>
  </si>
  <si>
    <t>Higher quality of data and more data about clients, which will also result in better treatment of clients. Higher efficiency.</t>
  </si>
  <si>
    <t xml:space="preserve">The bank wishes to implement a system that will use an AI solution to automatically record, transcribe and summarize all client-relationship and advisory meetings. Also, the system will automatically extract relevant information for the CRM system that is still missing or is newer. As part of this, the system will be used to identify potentials of net new assets of a client. The clients will be asked whether they agree to the use of the system with regard to their relationship. If so, the system will cover all interactions, whether via e-mail, phone or in person meetings. The data transcribed, summarized and extracted can be reviewed by the client's relationship manager. All recordings and other communications with the clients will be stored in our cloud tenant until it has been processed and then deleted. </t>
  </si>
  <si>
    <t>The alternative to the application would be to have the various communications and meetings documented and information extracted by support staff. We expect this to not only result in additional human exposure (wealth management clients usually do not want their conversations to be listened to by other people) but also more errors. With the system, we believe we can achieve a level of quality and completeness of the documentation that we would otherwise not be able to have.</t>
  </si>
  <si>
    <t>The recordings will be deleted once they are no longer required, and the information generated and extracted by the system will only be used to support the relationship manager in their work. There will be no automatic decisions, including for purposes of creditworthiness, and all information can be reviewed and changed by the relationship manager. We, therefore, believe that the application is proportionate. It essentially improves an existing processing of personal data.</t>
  </si>
  <si>
    <t>Make sure that CloudCo will be handling CID as required under banking secrecy law.</t>
  </si>
  <si>
    <t>Make sure that CloudCo's Data Processing Addendum also complies with the Swiss Data Protection Act.</t>
  </si>
  <si>
    <t>Make sure CID is not used to train, retrain or improve the LLM model used.</t>
  </si>
  <si>
    <t>Make sure that CID is not automatically analyzed for harmful use prevention.</t>
  </si>
  <si>
    <t>Make sure that CID is not manually analyzed for abusive or harmful use prevention and reviewed by CloudCo's staff.</t>
  </si>
  <si>
    <t>Contractual provisions for ensuring in-geo processing (our tenant)</t>
  </si>
  <si>
    <t>Contractual provision for ensuring in-geo processing (the AI services we wish to use)</t>
  </si>
  <si>
    <t>It is unrealistic to get such indemnities.</t>
  </si>
  <si>
    <t>PM</t>
  </si>
  <si>
    <t>Existing contract</t>
  </si>
  <si>
    <t>Negotiate with CloudCo</t>
  </si>
  <si>
    <t>Submit form (approval process)</t>
  </si>
  <si>
    <t>Nov 23</t>
  </si>
  <si>
    <t>The bank so far has an e-mail confirming that the LLM will be running in Switzerland, but there is no contractual commitment; negotiate with CloudCo</t>
  </si>
  <si>
    <t>A consent declaration proposal has been submitted to the app owner</t>
  </si>
  <si>
    <t>AO</t>
  </si>
  <si>
    <t>Update privacy notice</t>
  </si>
  <si>
    <t>Still to check the existing PN</t>
  </si>
  <si>
    <t>DP, General, Ethics</t>
  </si>
  <si>
    <t>The output generated will be reviewed by the relationship manager</t>
  </si>
  <si>
    <t>This is to spot any errors, inaccuracies or other inappropriate content</t>
  </si>
  <si>
    <t>To be implemented with a policy and corresponding training</t>
  </si>
  <si>
    <t>Right of access</t>
  </si>
  <si>
    <t>The clients can review the information that has been extracted by the application and have it amended.</t>
  </si>
  <si>
    <t>Upon start</t>
  </si>
  <si>
    <t>Feb 24</t>
  </si>
  <si>
    <t>Dec 23</t>
  </si>
  <si>
    <t>This will make sure that we are transparent both towards the client and third parties about whom we may be processing personal data</t>
  </si>
  <si>
    <t>Obtain client's prior consent</t>
  </si>
  <si>
    <t>This would protect us if the output (or the model's use) were to infring third party IP, exposing us to risks</t>
  </si>
  <si>
    <t>This will help us to react to any issues that would pop-up during actual use of the application and have the system improved.</t>
  </si>
  <si>
    <t>Testing</t>
  </si>
  <si>
    <t>An intensive testing should ensure that the application will meet our quality standards and will not create unacceptable results</t>
  </si>
  <si>
    <t>Jan 24</t>
  </si>
  <si>
    <t>Mar 24</t>
  </si>
  <si>
    <t>Test clients have already been selected and agree to participate</t>
  </si>
  <si>
    <t>- We inform clients and they agree to our use
- The app only extracts what the client has anyway told us; it's a merely support function
- We do not pass the information to others
- The feature to identify net new assets could result in criticism, but probably not with the kind of clients we have</t>
  </si>
  <si>
    <t>This will make sure that each client is happy with what we do; the consent can be revoked at any time. This will also protect us from a banking secrecy point of view.</t>
  </si>
  <si>
    <t>DP, Ethics, General, Secrecy</t>
  </si>
  <si>
    <t>- Clients may be concerned that their file at the bank is not correct anymore
- Other individuals may be concerned if an AI is processing data about them</t>
  </si>
  <si>
    <t xml:space="preserve">- We inform clients and they agree to our use
- For all others, we rely on the client to inform them and on our privacy notice
</t>
  </si>
  <si>
    <t>- Reputational issues
- Deterioriation of customer relationship
- DP claims by third parties</t>
  </si>
  <si>
    <t>- Reputational issues
- Deterioriation of customer relationship</t>
  </si>
  <si>
    <t>- Clients may have an uncanny feeling</t>
  </si>
  <si>
    <t xml:space="preserve">- We inform clients and they agree to our use
- However, the ability of our system to detect potential for net new assets (or even our proposal to use it) may be received by some as an intrusion into their private sphere
</t>
  </si>
  <si>
    <t>- The credit line of a client may be reduced
- Client may have to obtain services from another bank</t>
  </si>
  <si>
    <t>Despite the testing it may be that the quality of the information created and extracted by the AI is not sufficient to warrant ist productive use. This is why we test it.</t>
  </si>
  <si>
    <t>The output of the app is not relied upon for decisions; the relationship manager will review all communications that may be relevant for decision-making</t>
  </si>
  <si>
    <t>- Costs for the project
- Reputational issues</t>
  </si>
  <si>
    <t>The app is considered a high-risk application under the AI Act, but we are not using it in the EU</t>
  </si>
  <si>
    <t>We are only using basic features to create and run our app, and we can easily adapt it to other LLMs.</t>
  </si>
  <si>
    <t>No training.</t>
  </si>
  <si>
    <t>Monitoring, including retention of logs</t>
  </si>
  <si>
    <t>Input data is deleted after three months after the extraction</t>
  </si>
  <si>
    <t>Compliance with the storage limitation principle.</t>
  </si>
  <si>
    <t>- Data leakage may result in the information being used against the client</t>
  </si>
  <si>
    <t>Verify audit reports for supporting CloudCo's contractual claims</t>
  </si>
  <si>
    <t>- Additional costs for readjusting
- There may be more errors and more need for manual intervention</t>
  </si>
  <si>
    <t>- Monitoring the application (to alert us of any deterioration or changes)
- Extracted information is manually reviewed</t>
  </si>
  <si>
    <t>The model changes over time in a manner that causes issues to us (e.g., because we don't find out or can't adjust).</t>
  </si>
  <si>
    <t>The model becomes outdated and we can't adjust for that.</t>
  </si>
  <si>
    <t>- Monitoring the application (to alert us of any deterioration or changes)
- Extracted information is manually reviewed
- If necessary, we can swith to a different model</t>
  </si>
  <si>
    <t>- Additional costs for readjusting
- There may be more errors and more need for manual intervention
- However, the models usually get better over time</t>
  </si>
  <si>
    <t>Negative effects on output is considered below.</t>
  </si>
  <si>
    <t>Here, we covered the overall reaction to our app, not the reaction to particular problems with the output created</t>
  </si>
  <si>
    <t>Here, we covered the overall reaction to our app, not the reaction to particular problems with the input used or the output created</t>
  </si>
  <si>
    <t>See also below in the "output" risk section.</t>
  </si>
  <si>
    <t>- All input will have been generated by the client (or people related to the client)
- Exceptions may be content supplied by the client (e.g., e-mail attachments)
- We do not use the content for any other purpose than our client relationship</t>
  </si>
  <si>
    <t>- Civil claims (but our client may also be responsible)
- Reputational issues
- Criminal complaint</t>
  </si>
  <si>
    <t xml:space="preserve">- Civil claims (but our client may also be responsible)
- Reputational issues
</t>
  </si>
  <si>
    <t>- Data subjects may feel bad about the processing of their data by the AI system</t>
  </si>
  <si>
    <t>- We have the client's consent to process their data
- However, the content provided by the client may contain third party personal data for which the client was not allowed to share
- Also, the client's consent may be invalid
- We inform about our use in a privacy notice
- In the past, we never had any issue, although we did not use client communications as AI input</t>
  </si>
  <si>
    <t>Our input otherwise infringes data protection or personality rights of third parties (e.g., too much data, erroneous data, lack of transparency, unexpected or unfair use).</t>
  </si>
  <si>
    <t>- We only feed the communications we want to be processed
- We inform our client, including by use of a privacy notice
- However, it is possible that the input has errors due to errors in the vectorizaton process</t>
  </si>
  <si>
    <t>- The output has to be corrected manually
- Additional work</t>
  </si>
  <si>
    <t>- We have no reason to believe that the problems we may experience will have any effect on the data subjects (as they are detected beforehand)</t>
  </si>
  <si>
    <t>- We have the client's consent to feed CID to the application
- We have contracts that permit us to share CID with the provider</t>
  </si>
  <si>
    <t>- Criminal complaint
- Civil claims
- Reputational issues</t>
  </si>
  <si>
    <t>- The provider might misuse the CID, but we have no reason to believe that this will happen</t>
  </si>
  <si>
    <t>Our input contains other content that we did not want to use (e.g., own secrets or IP).</t>
  </si>
  <si>
    <t>- If we feed e-mail chains to the system, they may contain own content, but that content will be unproblematic for the present purpose</t>
  </si>
  <si>
    <t>- Loss of control (potentially)</t>
  </si>
  <si>
    <t>- We never had such illegal content in the past in our communications with clients, so we have no reason to believe that we will see it here</t>
  </si>
  <si>
    <t xml:space="preserve">- Service terminated, with additional costs as a consequence
</t>
  </si>
  <si>
    <t xml:space="preserve">- Reputational issues
- Civil claims for DP infringement
</t>
  </si>
  <si>
    <t>- This may be the case if the client shares very sensitive personal data about third parties and they or the public somehow finds out</t>
  </si>
  <si>
    <t>Explore the possibility of having certain data excluded from the process</t>
  </si>
  <si>
    <t>- May influence the relationship with the client in a positive or negative manner for the bank
- This is unlikely to be detected, except in case of an access request</t>
  </si>
  <si>
    <t>Are there special ways to test the output for bias? Can we have a training on that point</t>
  </si>
  <si>
    <t>- The relationship manager is required to review the generated and extracted information
- The system is thoroughly tested and a monitoring is in place
- However, it is often difficult to identify gaps in information, and gaps are subjective, too</t>
  </si>
  <si>
    <t>- The relationship manager is required to review the generated and extracted information
- The system is thoroughly tested and a monitoring is in place
- Errors are more likely to be detected by a manual reviewer than bias or gaps, but they can still happen
- Temperature is set to be "low", so hallucination should be less of a problem</t>
  </si>
  <si>
    <t xml:space="preserve">- May influence the relationship with the client in a positive or negative manner for the bank
</t>
  </si>
  <si>
    <t>Will the monitoring create statistics on errors? Will we ask the relationship managers to report on errors?</t>
  </si>
  <si>
    <t>Follow-up by CISO</t>
  </si>
  <si>
    <t>Follow-up by PM</t>
  </si>
  <si>
    <t>- The relationship manager is required to review the generated and extracted information
- The system is thoroughly tested and a monitoring is in place
- Temperature is set to be "low", so hallucination should be less of a problem
- Such type of errors are likely to be detected</t>
  </si>
  <si>
    <t>- Reputational issues if a client finds out by way of an access request</t>
  </si>
  <si>
    <t>We have to make sure that such output will be deleted immediately; include in training</t>
  </si>
  <si>
    <t>- The app will only generate or extract information based on the client's input, so no third party IP is to be expected we did not have already before</t>
  </si>
  <si>
    <t xml:space="preserve">Our use of the output infringes secrecy rights of third parties (e.g., by making disclosures of secrets not permitted, data leakage). </t>
  </si>
  <si>
    <t xml:space="preserve">- We have designed the app to only process the data of one client at a time; this should prevent any data leakage
- All data is known to the client, so we can also disclose it to them
</t>
  </si>
  <si>
    <t xml:space="preserve">- We have designed the app to only process the data of one client at a time; this should prevent any data leakage
- All data is known to the client, so we can also disclose it to them
- Temperature is set to be "low", so we do not expect the system to invent sensitive data
- The relationship manager is required to review the generated and extracted information
</t>
  </si>
  <si>
    <t xml:space="preserve">- Reputational issues
- Civil claims
</t>
  </si>
  <si>
    <t>- Clients may feel bad about the processing of their data by the AI system following an access request</t>
  </si>
  <si>
    <t>- Clients may feel very bad about the processing of their data by the AI system following an access request</t>
  </si>
  <si>
    <t>- May influence the relationship with the client in a positive or negative manner for the client
- Clients may feel bad about the processing of their data by the AI system following an access request</t>
  </si>
  <si>
    <t>- The relationship manager is required to review the generated and extracted information
- The system is thoroughly tested and a monitoring is in place
- However, if the bias is not strong, it may be overlooked
- If the app wrongly detects a potential for net new assets, this is unlikely to be corrected</t>
  </si>
  <si>
    <t>- May influence the relationship with the client in a positive or negative manner for the bank
- This is unlikely to be detected, except in case of an access request
- If the app wrongly detects a potential for net new assets, this may cause reputational issues</t>
  </si>
  <si>
    <t>- The app is not designed to create more or different information than is fed into it
- The app is thus limited to what is necessary for the purpose
- The client will reasonably expect the output, as they will have been informed of the purpose of the app</t>
  </si>
  <si>
    <t>- We never had such illegal content as input, so we don't expect the output to contain it
- The temperature is set to be "low", avoiding hallucination
- There is extensive testing and monitoring</t>
  </si>
  <si>
    <t>- Clients may suffer severe financial damage and negative publicity if their communications is revealed</t>
  </si>
  <si>
    <t>State of the art information security</t>
  </si>
  <si>
    <t>Prevent unintended breach of confidentiality, integrity and availability.</t>
  </si>
  <si>
    <t>This has basically already been ensured when the CloudCo tenant has been set up.</t>
  </si>
  <si>
    <t>- Our clients would no longer be able to be advised and handled by us with the quality and service as in the past</t>
  </si>
  <si>
    <t>- Wrong decisions that could have negative effects on the clients</t>
  </si>
  <si>
    <t>We only use data we already have.</t>
  </si>
  <si>
    <t>All personal data will be deleted within months after it has been processed by the app.</t>
  </si>
  <si>
    <t>There are no additional people accessing the data than there are already today. In fact, the app helps to reduce the number of people with access.</t>
  </si>
  <si>
    <t>- Affected third parties may not be able to pursue their rights if they don't know about the processing of their data</t>
  </si>
  <si>
    <t>- We have a privacy notice and inform clients about our use of the system
- Third parties may argue that we have not informed them appropriately
- We rely on the client to inform third parties about our processing of their data; it is also the client who decide which infomation they wish to share</t>
  </si>
  <si>
    <t>All data is available in the CRM; there is no "storage" of personal data in the AI app.</t>
  </si>
  <si>
    <t>All data is available in the CRM; there is no "storage" of personal data in the AI app. Any wrong data can be easily corrected.</t>
  </si>
  <si>
    <t>All data is available in the CRM; there is no "storage" of personal data in the AI app. Any deletion request can be easily fulfilled.</t>
  </si>
  <si>
    <t>- Request will be fulfilled.</t>
  </si>
  <si>
    <t>- No change versus the current situation</t>
  </si>
  <si>
    <t xml:space="preserve">The client can at any point of time ask us to stop processing their data with the app, which we will immediately implement. </t>
  </si>
  <si>
    <t>Have we made sure that we will immediately process such objection?</t>
  </si>
  <si>
    <t>- Objection will be fulfilled.</t>
  </si>
  <si>
    <t>Follow-up Ops</t>
  </si>
  <si>
    <t>- Civil claims for breach of data protection and banking secrecy
- Criminal complaint for breach of banking secrecy
- Reputational issues</t>
  </si>
  <si>
    <t>- Clients will feel bad about their data being fed into an AI system</t>
  </si>
  <si>
    <t>Can we build in an automated announcement in case of a call, so that the clients knows what is going on?</t>
  </si>
  <si>
    <t>Follow-up Dev</t>
  </si>
  <si>
    <t>- We inform clients with prepared statements and train relationship managers accordingly
- However, they may not inform properly
- We have a general waiver in our GTC</t>
  </si>
  <si>
    <t>Banking secrecy waiver</t>
  </si>
  <si>
    <t>Our GTC contain a waiver that permits us to outsource the processing of CID to third party providers.</t>
  </si>
  <si>
    <t>Unauthorized third parties (including both unlawful and foreign lawful access) gain access to the personal data and other secret of third parties we process with the application (unrelated to our use of AI).</t>
  </si>
  <si>
    <t>- Security measures will prevent such data breach
- We have undertaken a foreign lawful access risk assessment (FLARA), which resulted in very low probability of access</t>
  </si>
  <si>
    <t>- The provider is in the EU
- It has the EU SCC in place for onward transfers
- Our FLARA resulted in very low foreign lawful access risks</t>
  </si>
  <si>
    <t>- Claims for breach of data protection
- Fines for breach of data protection
- Reputational issues
- DP authority intervention</t>
  </si>
  <si>
    <t xml:space="preserve">- Reputational issues
- Claims for breach of data protection and professional secrecy
- Financial claims of customers
- DP authority intervention
</t>
  </si>
  <si>
    <t xml:space="preserve">- Reputational issues
- DP authority intervention
</t>
  </si>
  <si>
    <t>- Reputational issues
- We could no longer serve our customers
- DP authority intervention</t>
  </si>
  <si>
    <t>- DP authority intervention</t>
  </si>
  <si>
    <t>- Data subjects are deprived of their protection</t>
  </si>
  <si>
    <t>We permitted the transfer of personal data or third party secrets in violation of data export laws (e.g., lack of adequate safeguards or risk assessment, unacceptable high lawful access risks).</t>
  </si>
  <si>
    <t>No such decisions.</t>
  </si>
  <si>
    <t>We failed to properly assess and document our data protection compliance (accountability) and risks related to the application.</t>
  </si>
  <si>
    <t>- We have done a DPIA, but the DP authority may find it to be insuffcient</t>
  </si>
  <si>
    <t>- We have extensive DP and secrecy clauses agreed with CloudCo; they are considered state-of -the-art, but they have not been tested in court</t>
  </si>
  <si>
    <t>- No joint controllership</t>
  </si>
  <si>
    <t>- We have successfully reviewed the project for compliance with the Financial markets authority's outsourcing and oprisk regulation</t>
  </si>
  <si>
    <t>- Financial markets authority intervention
- We may have to change or give up the app</t>
  </si>
  <si>
    <t>- DP authority intervention
- Financial markets authority intervention
- Civil claims for breach of data protection and banking secrecy
- We may have to change or give up the app</t>
  </si>
  <si>
    <t>- DP authority intervention
- We may have to change or give up the app</t>
  </si>
  <si>
    <t>- Beyond the use of the AI, the app is straight-forward; we don't consider the risk of failure high on the non-AI-parts</t>
  </si>
  <si>
    <t>- We may have to change or give up the app
- Reputational issues</t>
  </si>
  <si>
    <t>The provider stops offering the services in full or in part we rely on for the solution, and we can't work around this.</t>
  </si>
  <si>
    <t>- The app is not dependent on a particular LLM; we can implement it with alternative service providers</t>
  </si>
  <si>
    <t>- Additional costs for switching
- We may have to change or give up the app</t>
  </si>
  <si>
    <t>Some follow-ups still need to be worked on (see above).</t>
  </si>
  <si>
    <t>The DPIA seems reasonable. No further comments.</t>
  </si>
  <si>
    <t xml:space="preserve">No further comments. </t>
  </si>
  <si>
    <t>Wealth management clients</t>
  </si>
  <si>
    <t>Content provided by customer</t>
  </si>
  <si>
    <t>Some internal remarks may be included in e-mails.</t>
  </si>
  <si>
    <t>CID</t>
  </si>
  <si>
    <t>Clients, third parties mentioned by clients</t>
  </si>
  <si>
    <t>Rules on outsourcing</t>
  </si>
  <si>
    <t>Financial markets regulations on outsourcing and oprisk</t>
  </si>
  <si>
    <t>We can also run our business without the app</t>
  </si>
  <si>
    <t>If there is erroneous information that is not detected</t>
  </si>
  <si>
    <t>Partly</t>
  </si>
  <si>
    <t>Transcribing, summarizing and analyzing meeetings and communications with WM clients</t>
  </si>
  <si>
    <t>Relationship managers</t>
  </si>
  <si>
    <t>Q2 2024</t>
  </si>
  <si>
    <t>Linda Longbottom</t>
  </si>
  <si>
    <t>Susan Brewer (PM), Peter Parker (AO), Damon Doe (IT), Linda Longbottom (Legal/DPO)</t>
  </si>
  <si>
    <t>Our use of AI as such is perceived by the public as being unfair or otherwise unethical or inadequate in the context we plan to use it.</t>
  </si>
  <si>
    <t xml:space="preserve">A lack of transparency regarding our use of AI as such, even where transparency is not required by law, causes harm to people (e.g., causing an uncanny feeling). </t>
  </si>
  <si>
    <t>Our use of AI infringes the private sphere of people without a sufficient justification or is perceived as doing so.</t>
  </si>
  <si>
    <t xml:space="preserve">We have to spend much more on ensuring legal and ethics compliance of our use of AI than we have originally planned to do. </t>
  </si>
  <si>
    <t>Our use of AI materially misses performance expectations (e.g., too many deficiencies, lack of performance, handling too complicated)</t>
  </si>
  <si>
    <t>Our use of AI materially misses the cost-benefit-ratio expectations (e.g., operation and maintenance turns out to be much more costly)</t>
  </si>
  <si>
    <t>- Significant additional costs
- Abort the project</t>
  </si>
  <si>
    <t>We have analyzed the legal requirements, but given the current climate, they may change in the course of the project and require us to invest much more in compliance (especially if we were to be a "provider" under the AI Act).</t>
  </si>
  <si>
    <t xml:space="preserve">The need for manual review and corrections may result in savings being nullified. This is why we test the application before rolling it out. </t>
  </si>
  <si>
    <t>We are not able to explain the model sufficiently even though we are or become required to do so.</t>
  </si>
  <si>
    <t>Quality, Ethics</t>
  </si>
  <si>
    <t>We are not able to prove the quality of the model (or its trainings) even though we are or become required to do so.</t>
  </si>
  <si>
    <t>The quality and other characteristics of the model (or its training) turn out to miss the minimum standards we require (by the law, our own standards or third party expecations).</t>
  </si>
  <si>
    <t>Quality, General, Ethics</t>
  </si>
  <si>
    <t>- Applicable law does not require us to prove the quality at the moment; only the output counts
- The model we use is world-class and broadly used and recognized</t>
  </si>
  <si>
    <t>- Additional costs</t>
  </si>
  <si>
    <t>- We will perform tests to ensure that the model is sufficient
- There are not requirements by law as to quality standards
- What counts is the output</t>
  </si>
  <si>
    <t>- There is no obligation that requires us to explain the model
- We consider it unlikely that it would be introduced; if that were the case, our provider would certainly support us, as this would apply to many customers</t>
  </si>
  <si>
    <t>The output is otherwise incorrect (e.g., due to hallucination, lack of precision) and we use it without detecting this.</t>
  </si>
  <si>
    <t>We are required to explain the output (e.g., because we took a decision based on it), but are not able to reasonably do</t>
  </si>
  <si>
    <t>- We do not take any decisions
- If the output is wrong, we correct the data
- We can't envisage why we should be required to explain it</t>
  </si>
  <si>
    <t>The application or our use of it materially misses the expectations unrelated to the use of AI (e.g., cost overruns, too many deficiencies, lack of performance, handling too complicated)</t>
  </si>
  <si>
    <t>Changelog</t>
  </si>
  <si>
    <t>Date</t>
  </si>
  <si>
    <t>Changes</t>
  </si>
  <si>
    <t>31.10.2023</t>
  </si>
  <si>
    <t>Initial launch for public comment</t>
  </si>
  <si>
    <t>2.03</t>
  </si>
  <si>
    <t>2.04</t>
  </si>
  <si>
    <t>2.05</t>
  </si>
  <si>
    <t>2.06</t>
  </si>
  <si>
    <t>Recommendation:</t>
  </si>
  <si>
    <t>Decision on how to proceed:</t>
  </si>
  <si>
    <t>Does the application involve data that is subject to official or professional secrecy?</t>
  </si>
  <si>
    <t>Does the application involve personal data?</t>
  </si>
  <si>
    <t>Have we limited our use of personal data to the minimum necessary for the purpose?</t>
  </si>
  <si>
    <t>Do we limit access to our data within the solution on a "need-to-know"-basis?</t>
  </si>
  <si>
    <t>Assessment</t>
  </si>
  <si>
    <t>Have we opted out from our data being monitored by our provider(s) or are we fine with it?</t>
  </si>
  <si>
    <t>Have we opted out from our data being used by our provider(s) or are we fine with it?</t>
  </si>
  <si>
    <t>Have we amended the privacy notice (where necessary)?</t>
  </si>
  <si>
    <t>Could our use of AI mislead or deceive anyone?</t>
  </si>
  <si>
    <t>Could our use of AI cause unintended repercussions for others (damage, discrimination, etc.)?</t>
  </si>
  <si>
    <t>Does our use of AI respect the dignity and individual autonomy of those affected by it?</t>
  </si>
  <si>
    <t>Comments or objections by 2nd Line:</t>
  </si>
  <si>
    <t>Comments or objections by others:</t>
  </si>
  <si>
    <t>(to be made by the application owner)</t>
  </si>
  <si>
    <t>(to be taken by the application owner)</t>
  </si>
  <si>
    <t>Reason:</t>
  </si>
  <si>
    <t>For how many years do you believe will these answers remain more or less valid?</t>
  </si>
  <si>
    <t xml:space="preserve"> Go to GAIRA</t>
  </si>
  <si>
    <r>
      <rPr>
        <b/>
        <sz val="9"/>
        <color theme="1"/>
        <rFont val="Calibri"/>
        <family val="2"/>
        <scheme val="minor"/>
      </rPr>
      <t>Instruction:</t>
    </r>
    <r>
      <rPr>
        <sz val="9"/>
        <color theme="1"/>
        <rFont val="Calibri"/>
        <family val="2"/>
        <scheme val="minor"/>
      </rPr>
      <t xml:space="preserve"> Not all AI applications and other AI projects need to undergo a comprehensive risk assessment. In many cases, a "light" assessment of the risks is sufficient. The below questions help you to understand whether you should do a comprehensive assessment or whether a "light" assessment appears sufficient. Answer the questions and the form will provide you with a corresponding recommendation. At the end, the decision is yours. If you do not follow the recommendation, you may want to document the reason.</t>
    </r>
  </si>
  <si>
    <t>By whom?</t>
  </si>
  <si>
    <t>2nd Line Comment</t>
  </si>
  <si>
    <t>2.07</t>
  </si>
  <si>
    <t>DeltaPI-4 (LLM), Chatbot</t>
  </si>
  <si>
    <t>DeltaPI-4 (LLM), special purpose software</t>
  </si>
  <si>
    <t>CloudCo AI Services</t>
  </si>
  <si>
    <t>Technology used (incl. AI model)</t>
  </si>
  <si>
    <t>Do we have measures to avoid or deal with erroneous or other problematic output (e.g., bias)?</t>
  </si>
  <si>
    <t>Will we let our application take decisions on other people that they will find important?</t>
  </si>
  <si>
    <r>
      <t>Will we create or further train the AI model we use for our application (not including RAG</t>
    </r>
    <r>
      <rPr>
        <vertAlign val="superscript"/>
        <sz val="11"/>
        <color theme="1"/>
        <rFont val="Calibri"/>
        <family val="2"/>
        <scheme val="minor"/>
      </rPr>
      <t>1)</t>
    </r>
    <r>
      <rPr>
        <sz val="11"/>
        <color theme="1"/>
        <rFont val="Calibri"/>
        <family val="2"/>
        <scheme val="minor"/>
      </rPr>
      <t>)?</t>
    </r>
  </si>
  <si>
    <t>2.08</t>
  </si>
  <si>
    <t>Reason incl. measures taken/planned</t>
  </si>
  <si>
    <t>If you do not know the answer to this, you will have to ask your 2nd line functions that deal with this, for example, your legal department or the data protection officer. They may have to review these contracts etc. for you and let you know the answer you can include here.</t>
  </si>
  <si>
    <t>The "records of processing activities" (ROPA) is an inventory list of all activities that involve processing personal data at the organisation. Depending on the organisation, it is a requirement under data protection law.</t>
  </si>
  <si>
    <r>
      <t>Does the application involve other data that is confidential or legally protected?</t>
    </r>
    <r>
      <rPr>
        <vertAlign val="superscript"/>
        <sz val="11"/>
        <color theme="1"/>
        <rFont val="Calibri"/>
        <family val="2"/>
        <scheme val="minor"/>
      </rPr>
      <t>3)</t>
    </r>
  </si>
  <si>
    <t>Will the application interact with a large number of people concerning sensitive topics?</t>
  </si>
  <si>
    <t>Does the application require a large investment, or is it of strategic importance?</t>
  </si>
  <si>
    <t>Do we foresee any other uncontrolled issue in connection with our use of AI?</t>
  </si>
  <si>
    <t>Could our use of AI be considered being based on exploiting vulnerabilities of individuals?</t>
  </si>
  <si>
    <t>Are the users of our AI solution be instructed, trained and monitored in its proper use?</t>
  </si>
  <si>
    <t>Is our AI solution tested extensively prior to its use, including against adversarial use?</t>
  </si>
  <si>
    <t>Do we inform others about our use of AI where this may be relevant for their interaction with us?</t>
  </si>
  <si>
    <t>Do we have measures to detect undesired behavior of our AI solution, to log it and react to it?</t>
  </si>
  <si>
    <t>Are we able to comply with data subject requests (e.g., access, correction, objection, deletion)?</t>
  </si>
  <si>
    <t>What is your application about?</t>
  </si>
  <si>
    <t>Is your application likely to involve high risks for the company?</t>
  </si>
  <si>
    <t>How are you dealing with the typical risks of generative AI?</t>
  </si>
  <si>
    <r>
      <t>Do our provider(s) contracts protect the confidential or legally protected data we may be using?</t>
    </r>
    <r>
      <rPr>
        <vertAlign val="superscript"/>
        <sz val="11"/>
        <color theme="1"/>
        <rFont val="Calibri"/>
        <family val="2"/>
        <scheme val="minor"/>
      </rPr>
      <t>4)</t>
    </r>
  </si>
  <si>
    <r>
      <t>Do we have a proper data processing agreement with our data processing provider(s)?</t>
    </r>
    <r>
      <rPr>
        <vertAlign val="superscript"/>
        <sz val="11"/>
        <color theme="1"/>
        <rFont val="Calibri"/>
        <family val="2"/>
        <scheme val="minor"/>
      </rPr>
      <t>4)</t>
    </r>
  </si>
  <si>
    <r>
      <t xml:space="preserve">Preparatory questions </t>
    </r>
    <r>
      <rPr>
        <sz val="11"/>
        <color theme="1"/>
        <rFont val="Calibri"/>
        <family val="2"/>
        <scheme val="minor"/>
      </rPr>
      <t>(will toggle below questions)</t>
    </r>
  </si>
  <si>
    <t>Compliance housekeeping questions</t>
  </si>
  <si>
    <t>Will we use one or several 3rd party providers (with access to our data)?</t>
  </si>
  <si>
    <r>
      <t>Could our use of them result in personal data being transferred to "unsafe" countries?</t>
    </r>
    <r>
      <rPr>
        <vertAlign val="superscript"/>
        <sz val="11"/>
        <color theme="1"/>
        <rFont val="Calibri"/>
        <family val="2"/>
        <scheme val="minor"/>
      </rPr>
      <t>2)</t>
    </r>
  </si>
  <si>
    <t>May any of our providers monitor the input or output (e.g., for safety, ethics)?</t>
  </si>
  <si>
    <t>The term "confidential data" refers to either our own business secrets or business secrets of a 3rd party that we have received under an non-disclosure agreement or other confidentiality undertaking. The term "legally protected data" refers to content that is the intellectual property of a third party and has been licensed to us under certain conditions. We have to make sure that we comply with these conditions, including in particular when using such data as input to an AI system.</t>
  </si>
  <si>
    <r>
      <t>Do we properly address the transfer of personal data to "unsafe" countries with them?</t>
    </r>
    <r>
      <rPr>
        <vertAlign val="superscript"/>
        <sz val="11"/>
        <color theme="1"/>
        <rFont val="Calibri"/>
        <family val="2"/>
        <scheme val="minor"/>
      </rPr>
      <t>5)</t>
    </r>
  </si>
  <si>
    <r>
      <t>Are our provider(s) approved for use with official/professional secrecy data (where necessary)?</t>
    </r>
    <r>
      <rPr>
        <vertAlign val="superscript"/>
        <sz val="11"/>
        <color theme="1"/>
        <rFont val="Calibri"/>
        <family val="2"/>
        <scheme val="minor"/>
      </rPr>
      <t>6)</t>
    </r>
  </si>
  <si>
    <t>This refers to the content mentioned also in footnote 3), which is either business secrets of third parties or intellectual property of a third party. Here, the question aims at finding out whether we have made any commitments to those who have entrusted their business secrets or intellectual property to us under the expectation or condition that we will not use it for AI solutions such as the present one. That said, most contracts will not contain any such restrictions.</t>
  </si>
  <si>
    <t>With the term "sensitive personal data" we mean personal data revealing racial or ethnic origin, political opinions, religious or philosophical beliefs, or trade union membership, and the processing of genetic data, biometric data for the purpose of uniquely identifying a natural person, data concerning health or data concerning a natural person’s sex life or sexual orientation, other personal data about the person's intimate sphere, personal data relating to criminal convictions and offences or related security measures as well as data on social security measures. These categories of personal data are subject to special protections under the GDPR and Swiss data protection law. The term "profiling" means any automated processing of personal data consisting of the use of personal data to evaluate certain personal aspects relating to a natural person, in particular to analyse or predict aspects concerning that natural person’s performance at work, economic situation, health, personal preferences, interests, reliability, behaviour, location or movements.</t>
  </si>
  <si>
    <r>
      <rPr>
        <b/>
        <sz val="9"/>
        <color theme="1"/>
        <rFont val="Calibri"/>
        <family val="2"/>
        <scheme val="minor"/>
      </rPr>
      <t>Instruction:</t>
    </r>
    <r>
      <rPr>
        <sz val="9"/>
        <color theme="1"/>
        <rFont val="Calibri"/>
        <family val="2"/>
        <scheme val="minor"/>
      </rPr>
      <t xml:space="preserve"> Go through all questions below (except for those that are faded out). Start at the top and provide your answer in column "E". Depending on the answers to the "Preparatory questions", some of the following questions will automatically fade out and do not need to be answered. In column "F" you should provide a description or reason for your answer, in particular if your answer may be problematic. Depending on your answer, the form will tell you whether your answer is, indeed, problematic. In such a case, a warning will appear in column "G". If this is the case, you can only proceed if you have asked your "2nd line" functions (e.g., your legal department, the compliance officer, the DPO, the AI officer, the CISO, etc.) for their assessment of the situation. They will include their recommendation in column "H" and provide their identifier in column "I". Once this has happened, the application owner can take a decision whether or not to accept the risk. At the end of this section, include the number of years you believe the situation will remain stable (it will determine the calculation when to revisit this assessment in any event).</t>
    </r>
  </si>
  <si>
    <t>Do we have human oversight wherever our AI solution could take or influence key decisions?</t>
  </si>
  <si>
    <t>Note: The protection of the worksheet can be turned of without the need for a password. It has been activate to prevent unwanted changes of the sheet.</t>
  </si>
  <si>
    <t>Relationship managers, clients and people they refer to in their communications.</t>
  </si>
  <si>
    <t>May any of our providers use our data for ist own/third party purposes (e.g., AI training)?</t>
  </si>
  <si>
    <t>A legal basis is only required under the GDPR or, in under Swiss law, where an institution is processing data in its capacity as a federal or cantonal authority (or, also under Swisslaw, if a processing activity is in breach of certain principles of data protection). Under the GDPR, a legal basis for processing normal data could be the need to perform a contract with the person at issue, its consent, a legal obligation or an overriding legitimate interest.</t>
  </si>
  <si>
    <t>5.1.2024</t>
  </si>
  <si>
    <t>Added "GAIRA Light" as Draft</t>
  </si>
  <si>
    <t>Generative AI Risk Assessment (GAIRA) – Light</t>
  </si>
  <si>
    <t>Generative AI Risk Assessment (GAIRA) – Comprehensive</t>
  </si>
  <si>
    <t>Generative AI – Compliance Check</t>
  </si>
  <si>
    <t>Download this here.</t>
  </si>
  <si>
    <t>Will we be using our AI application not only for our purposes, but also offering it to third parties?</t>
  </si>
  <si>
    <t>Do we keep personal data in connection with the solution only for as long as we need it?</t>
  </si>
  <si>
    <t>Small bug fixes</t>
  </si>
  <si>
    <t>7.1.2024</t>
  </si>
  <si>
    <t>This is no legal advice and is made available "as is" with no warranties. Use it at your own risk and obtain legal counsel where necessary. Please let us know of any errors. This template may be used as per the Creative Commons "Attribution-NoDerivatives 4.0 International" (CC BY-ND 4.0) license (http://creativecommons.org/licenses/by-nd/4.0/). The input fields and their content are not subject to the license. Also, new input lines may be added as needed. This template can be downloaded in the latest version at https://vischerlnk.com/gaira (or https://www.rosenthal.ch/downloads/Rosenthal_GAIRA.xlsx).</t>
  </si>
  <si>
    <t>Does the application have a high potential to cause negative headlines in the media ("shitstorm")?</t>
  </si>
  <si>
    <t>Would we consider legal steps if a 3rd party used such an application against us or with our data?</t>
  </si>
  <si>
    <t>In place</t>
  </si>
  <si>
    <r>
      <rPr>
        <b/>
        <sz val="9"/>
        <color theme="1"/>
        <rFont val="Calibri"/>
        <family val="2"/>
        <scheme val="minor"/>
      </rPr>
      <t>Instruction:</t>
    </r>
    <r>
      <rPr>
        <sz val="9"/>
        <color theme="1"/>
        <rFont val="Calibri"/>
        <family val="2"/>
        <scheme val="minor"/>
      </rPr>
      <t xml:space="preserve"> This step 4 is the core of GAIRA. Your task is, together with other stakeholders and subject matter experts (such as from IT, legal, compliance, security, risk and the business) go through the below list and prepared risk scenarios. For each risk scenario, consider whether it could happen to </t>
    </r>
    <r>
      <rPr>
        <i/>
        <sz val="9"/>
        <color theme="1"/>
        <rFont val="Calibri"/>
        <family val="2"/>
        <scheme val="minor"/>
      </rPr>
      <t>your</t>
    </r>
    <r>
      <rPr>
        <sz val="9"/>
        <color theme="1"/>
        <rFont val="Calibri"/>
        <family val="2"/>
        <scheme val="minor"/>
      </rPr>
      <t xml:space="preserve"> application and what measures you have undertaken or plan to undertake to prevent this from happening; list them in column D with bullets. You can also mention other factors that will help to prevent the risk scenario from occurring. In column E you then have to select how probable the risk scenario is in your case, given the measures and circumstances in column D. Once you have selected this, think of the possible impact if the risk scenario were to </t>
    </r>
    <r>
      <rPr>
        <i/>
        <sz val="9"/>
        <color theme="1"/>
        <rFont val="Calibri"/>
        <family val="2"/>
        <scheme val="minor"/>
      </rPr>
      <t xml:space="preserve">nevertheless materialize. </t>
    </r>
    <r>
      <rPr>
        <sz val="9"/>
        <color theme="1"/>
        <rFont val="Calibri"/>
        <family val="2"/>
        <scheme val="minor"/>
      </rPr>
      <t xml:space="preserve">Think of reasonably possible negative consequences for the organization and list them (using bullets) in column F. Then assess the exposure of the organization, </t>
    </r>
    <r>
      <rPr>
        <i/>
        <sz val="9"/>
        <color theme="1"/>
        <rFont val="Calibri"/>
        <family val="2"/>
        <scheme val="minor"/>
      </rPr>
      <t xml:space="preserve">in the hypothetical case </t>
    </r>
    <r>
      <rPr>
        <sz val="9"/>
        <color theme="1"/>
        <rFont val="Calibri"/>
        <family val="2"/>
        <scheme val="minor"/>
      </rPr>
      <t xml:space="preserve">that the risk scenario occurs (which you may believe is unlikely). The exposure depends on the magnitute of damage the risk scenario could cause and its probability. Do this assessment for all categories of negative consequences (even where they overlap), e.g., with regard to the financial harm the risk scenario could create to the organization, reputational issues, regulatory action (provided you are subject to regulatory oversight - if not, just select N/A) and potential criminal action, if any (if none is reasonably possible, select N/A). After you have assessed the risks for the organization, you have to assess the risks for the individuals that may be negatively affected by the risk scenario (e.g., the people about whom you process data). Rate their exposure (taking into consideration any potential harm, even if not physical or monetary) in the same manner as you did before for the organization. Finally, you can use the last columns to provide for any comments (such as assumptions you have made in the risk assessments or points that still need to be clarified), information about the risk owner and how the risk is handled (e.g., whether it is accepted, further steps are taken, etc.). When doing this assessment, you will likely conclude that additional measures are necessary to mitigate the probability of the risk scenario occurring or to mitigate the negative consequences. If this happens, add the measures in the table of step 2, and do the risk assessment assuming that the measure has been implemented. </t>
    </r>
    <r>
      <rPr>
        <b/>
        <sz val="9"/>
        <color theme="1"/>
        <rFont val="Calibri"/>
        <family val="2"/>
        <scheme val="minor"/>
      </rPr>
      <t>If a particular risk scenario has an only theoretical probability of occuring, you do not need to assess it.</t>
    </r>
    <r>
      <rPr>
        <sz val="9"/>
        <color theme="1"/>
        <rFont val="Calibri"/>
        <family val="2"/>
        <scheme val="minor"/>
      </rPr>
      <t xml:space="preserve"> Just select N/A as the probility of occurence in column E and consider providing a brief explanation. If you want to add risk scenarios, there are empty lines in each section.</t>
    </r>
  </si>
  <si>
    <t>Note: The protection of the worksheet can be turned off without the need to a password. It has been activate to prevent unwanted changes of the sheet.</t>
  </si>
  <si>
    <t>Art. 6</t>
  </si>
  <si>
    <t>AI is to be used for evaluating the creditworthiness of a person or their credit score, except for the purpose of detecting financial fraud</t>
  </si>
  <si>
    <t>Law enforcement use, where (i) AI is to be used for assessing the risk of a person becoming victim of criminal offences, (ii) AI is to be used as a polygraph or similar tool or (iii) AI is to be used to detect the reliability of evidence (in each case, other than a prohibited practice above)</t>
  </si>
  <si>
    <t>AI is to be used to influence the outcome of an election or voting referendum or individual voting, but not where persons are not directly exposed to the output of AI (e.g., AI systems used for organising, optimising and structuring the administration or logistics of political campaigns)</t>
  </si>
  <si>
    <t>None</t>
  </si>
  <si>
    <t>Period of time and frequency of use:</t>
  </si>
  <si>
    <t>Daily</t>
  </si>
  <si>
    <t>Measures for human oversight:</t>
  </si>
  <si>
    <t>Other persons or groups that may be affected:</t>
  </si>
  <si>
    <t>1.16</t>
  </si>
  <si>
    <t>1.17</t>
  </si>
  <si>
    <t>1.18</t>
  </si>
  <si>
    <t>1.19</t>
  </si>
  <si>
    <t>1.20</t>
  </si>
  <si>
    <t>Measures for handling issues detected:</t>
  </si>
  <si>
    <t>"Low temperature"; input data is deleted after three months after the extraction.</t>
  </si>
  <si>
    <t>As per the Groups Information Security Policy.</t>
  </si>
  <si>
    <t>Reporting to the application owner for analysis and remediation with the application engineers.</t>
  </si>
  <si>
    <t>The output generated will be reviewed by the relationship manager.</t>
  </si>
  <si>
    <t>Contractual provisions for processing CID, for ensuring in-geo processing (our tenant), for applying Swiss data protection law, regarding purpose limitation and for ensuring in-geo processing (the AI services we wish to use); opt-out from content filtering; opt-out from abuse monitoring and human review; Verification that abuse monitoring is deactivated; contractual indemnities in case of IP claims due to the use of Azure OpenAI services; obtain client's prior consent; update privacy notice; right of access; testing; monitoring, including the retention of logs; banking secrecy waiver; training of relationship managers.</t>
  </si>
  <si>
    <t>Deployer</t>
  </si>
  <si>
    <t>Source:</t>
  </si>
  <si>
    <t>‘provider’ means a natural or legal person, public authority, agency or other body that develops an AI system or a general purpose AI model or that has an AI system or a general purpose AI model developed and places them on the market or puts the system into service under its own name or trademark, whether for payment or free of charge;</t>
  </si>
  <si>
    <t>Definitions (Art. 3):</t>
  </si>
  <si>
    <t>GenAI techniques to be used (incl. model):</t>
  </si>
  <si>
    <t>Measures to control AI risks (other organizational):</t>
  </si>
  <si>
    <t>Measures to control AI risks (other technical):</t>
  </si>
  <si>
    <t>Measures to control cybersecurity risks:</t>
  </si>
  <si>
    <r>
      <t>Training or fine-tuning of the AI model, RAG</t>
    </r>
    <r>
      <rPr>
        <vertAlign val="superscript"/>
        <sz val="11"/>
        <color theme="1"/>
        <rFont val="Calibri"/>
        <family val="2"/>
        <scheme val="minor"/>
      </rPr>
      <t>1</t>
    </r>
    <r>
      <rPr>
        <sz val="11"/>
        <color theme="1"/>
        <rFont val="Calibri"/>
        <family val="2"/>
        <scheme val="minor"/>
      </rPr>
      <t>:</t>
    </r>
  </si>
  <si>
    <t>22.1.2024</t>
  </si>
  <si>
    <t>3.2.2024</t>
  </si>
  <si>
    <t>Updated AI Act information; added new description sections; added notes for providing practical guidance</t>
  </si>
  <si>
    <t>Home of GAIRA: www.rosenthal.ch (with vischerlnk.com/gaira pointing to it)</t>
  </si>
  <si>
    <t>This refers on the one hand to contractual measures, such as the conclusion of the EU Standard Contractual Clauses (EU SCC) with the party abroad (e.g., the provider), and on the other hand us checking whether there is any relevant risk of our data becoming subject to problematic lawful access by authorities in the country of the recipient. For "safe" countries (see footnote 2) this is not necessary. This is typically an issue you will have to check with your 2nd line, e.g., the DPO or legal department.</t>
  </si>
  <si>
    <t>The term "unsafe" countries refers to countries that are not considered having an adequate level of statutory data protection (from the perspective of the EEA, CH and UK; for the EEA, the list of "safe" countries includes all EEA member states and the countries with an "adequacy" decision, which are listed here: https://vischerlnk.com/3StIhBp; for Switzerland, the list is in "Anhang 1" of the Data Protection Ordinance: https://vischerlnk.com/3SHGJFe).</t>
  </si>
  <si>
    <t>If we want to use a provider for processing data that is subject to official or professional secrecy, additional precautions need to be taken. In particular, the provider contract will need special clauses (e.g., containing a "defend your data" provision and a proper confidentiality undertaking for the provider, its employees and for beyond the term of the contract). Providers often provide special amendments for this purpose upon request. Furthermore, technical and organizational measures will have to implemented to protect the data against both misuse and foreign lawful access. It may also be necessary to perform a foreign lawful access risk assessment (FLARA). You will have to ask your 2nd line to provide you guidance on this, unless you already know.</t>
  </si>
  <si>
    <t>Daily, for the duration of the conversion project</t>
  </si>
  <si>
    <t>‘deployer’ means any natural or legal person, public authority, agency or other body using an AI system under its authority except where the AI system is used in the course of a personal non-professional activity;</t>
  </si>
  <si>
    <t xml:space="preserve">AI is to be used to evaluate and classify emergency calls by persons or in dispatching or triaging emergency first response or services or health care </t>
  </si>
  <si>
    <t>Providers shall inter alia ensure that individuals are informed that they are interacting with an AI system, unless this is obvious.</t>
  </si>
  <si>
    <t>Exploiting vulnerabilities of persons due to age, disability or a specific social or economic situation, to distort their behaviour in a manner that causes or is likely to cause significant harm</t>
  </si>
  <si>
    <t>Biometric categorisation to deduce or infer a person's race, political opinion, trade union membership, religious or philosophical belief, sex life or sexual orientation (i.e. based on biometric data)</t>
  </si>
  <si>
    <t>Evaluation or classification of persons over a period of time based on their social behaviour or known, inferred or predicted personality characteristics with this social scoring leading to detrimental or unfavourable treatment that is unrelated to the data context, or unjustified or disproportionate</t>
  </si>
  <si>
    <t>Profiling or assessment of personality traits or characteristics of persons to asses or predict the risk of them committing criminal offences, except for assisting human risk assessments of specific persons involved in a crime</t>
  </si>
  <si>
    <t>Creation or expansion of a facial recognition database based on untargeted scraping on the Internet or CCTV footage</t>
  </si>
  <si>
    <t>Inferring emotions (including intent) of persons in workplace areas or in education institutions except where intended for medical or safety reasons</t>
  </si>
  <si>
    <t>The AI system is a safety component of a product or a product itself that under existing EU law (Annex II) has to undergo a third-party conformity assessment before being placed on the market or put into service</t>
  </si>
  <si>
    <t>AI is to be used as a safety component in the management and operation of critical infrastructure, road traffic or the supply of water, gas, etc.</t>
  </si>
  <si>
    <t>Use in education and vocational training, insofar (i) access, admission or assignment is to be determined by AI, (ii) AI is to evaluate learning outcomes or educational level of persons, or (iii) AI is to be used to monitor or detect prohibited behaviour during tests</t>
  </si>
  <si>
    <t>Employment, workers management and access to self-employment, insofar (i) AI is to be used for recruitment or selection of persons or (ii) AI is to be used to make decisions affecting the terms of employment (e.g., promotion, termination), evaluate performance or allocate work based on behaviour or other personal characteristics</t>
  </si>
  <si>
    <t xml:space="preserve">AI is to be used for evaluating (for or as a public authority) whether essential public assistance benefits and services, including healthcare, are or continue to be available to a particular person  </t>
  </si>
  <si>
    <t>Law enforcement use, where (i) AI is to assess the risk of a person offending or re-offending not solely based on their (automated) profiling, (ii) AI is to be used to assess personality traits, characteristics or past criminal behaviour of a person, or (iii) AI is to be used for profiling persons in the course of detection, investigation or prosecution of criminal offences</t>
  </si>
  <si>
    <t>AI is to be used by a judicial authority or on their behalf or in an alternative dispute resolution to assist the judicial authority in researching and interpreting facts and the law and applying it to a specific case</t>
  </si>
  <si>
    <t>A high-risk AI system as laid out above, but the AI system at issue (i) poses no significant risk of harm (e.g., narrow procedural task, quality control of human activities or completed decision making) and (ii) does not perform any profiling</t>
  </si>
  <si>
    <t>Providers shall inter alia ensure that the outputs of the AI system are marked in a machine-readable format and detectable as artificially generated or manipulated, and that the solution is effective, interoperable, robust and reliable (with exceptions for AI systems used only in an assistive role for standard editing or that do not substantially alter the input data).</t>
  </si>
  <si>
    <t>16.2.2024</t>
  </si>
  <si>
    <t>Updated AI Act information (refined)</t>
  </si>
  <si>
    <t>Although the AI system in principle qualifies as a High-Risk AI System, the use case is non-high risk, which is why the "de minimis" rule of the AI Act applies; the provider still needs to register the system and to document the non-high risk determination.</t>
  </si>
  <si>
    <t>21.2.2024</t>
  </si>
  <si>
    <t>Providers shall inter alia (i) provide a detailed technical documentation for the supervisory authorities and a less detailed one for users, (ii) have a representative in the EU if the pro-vider itself is not established in the EU, but subject to the AI Act, (iii) have rules for comply-ing with EU copyright law, including the text and data mining opt-out provision, (iv) informan about the content used for training, (v) perform a model evaluation, (vi) assess and mitigate possible systemic risks, (vii) keep track of, document and report information about serious incidents and possible measures to address them, and (viii) protect the model with adequate cybersecurity measures.</t>
  </si>
  <si>
    <t>Providers shall inter alia (i) provide a detailed technical documentation for the supervisory authorities and a less detailed one for users, (ii) have a representative in the EU if the pro-vider itself is not established in the EU, but subject to the AI Act, (iii) have rules for comply-ing with EU copyright law, including the text and data mining opt-out provision, and (iv) in-forman about the content used for training (with some exceptions applying to free open source models).</t>
  </si>
  <si>
    <t>AI is to be used for risk assessments and pricing of life or health insurance</t>
  </si>
  <si>
    <t>Real-time remote biometric identification in publicly accessible spaces for the purpose of law enforcement, except for targeted victim searches, prevention of specific, substantial and imminent threats or the localisation or identification of suspects of certain defined categories of crimes (Annex IIa), subject too additional conditions (e.g., court approval, permission only to search for specifically targeted individuals)</t>
  </si>
  <si>
    <t>Remote biometric identification beyond mere authentication and biometric categorization and using or inferring from sensitive or protected characteristics</t>
  </si>
  <si>
    <t>Use of subliminal, purposefully manipulative or deceptive techniques, with the objective to or the effect of materially distorting behaviour or impairing the person’s ability to make an informed decision, that may result in a decision that causes or is likely to cause significant harm</t>
  </si>
  <si>
    <t xml:space="preserve">Inferring emotions or intentions based on biometrics (emotion recognition) </t>
  </si>
  <si>
    <t>Migration, asylum and border control management use, where (i) AI is to be used as a polygraph or similar tool, (ii) AI is to be used for assessing risks posed by persons entering the EU, (iii) AI is to be used to examine applications for asylum, visa, residence permits and related complaints, and assess related evidence, (iv) AI is to be used to detect, recognize or identify persons, except for the verification of travel documents</t>
  </si>
  <si>
    <t>An AI system that infers or detects emotions and intents or does biometric categorization, except for those systems that are permitted by law to detect, prevent and investigate criminal offences</t>
  </si>
  <si>
    <t xml:space="preserve">A general-purpose AI model with a "systemic risk" because it (i) has high impact capabilities (including where its training has involved 10^25 FLOPS or greater) or (ii) it has been determined as being the foregoing </t>
  </si>
  <si>
    <t>= likely prohibited under the AI Act</t>
  </si>
  <si>
    <t>None of the activities describes what we are doing</t>
  </si>
  <si>
    <t>Yes, another activity listed in Art. 5 AI Act</t>
  </si>
  <si>
    <t>Providers are inter alia required to (i) provide a risk- and quality management, (ii) have done a conformity assessment and affix a CE marking with their contact data, (iii) ensure the certain quality levels for training-, validation and test data used, (iv) provide a detailed technical documentation, (v) provide for automatic logging and retain logs, (vi) provide instructions for deployers, (vii) design the system to permit human oversight, be robust, reliable, protected against security threats (including AI attacks) and be fault tolerant, (vii) register the AI system, (viii) have a post-market monitoring, (ix) report incidents to the authorities and take corrective actions, (x) cooperate with authorities, (xi) document compliance with the foregoing and (xii) have a representative in the EU if the provider itself is not established in the EU, but subject to the AI Act.</t>
  </si>
  <si>
    <t>Not permitted.</t>
  </si>
  <si>
    <t>Qualifcation</t>
  </si>
  <si>
    <t>Although the AI system in principle qualifies as a High-Risk AI System, the use case is non-high risk, which is why the "de minimis" rule of the AI Act applies.</t>
  </si>
  <si>
    <t>Does the high-risk AI system nevertheless (i) pose no significant risk of harm (e.g., narrow procedural task, quality control of human activities or completed decision making) and (ii) does it not perform any profiling?</t>
  </si>
  <si>
    <t>2.09</t>
  </si>
  <si>
    <t>2.10</t>
  </si>
  <si>
    <t>Whether you are subject to the AI Act as a "provider" or in a similar role</t>
  </si>
  <si>
    <t>2.11</t>
  </si>
  <si>
    <t>2.12</t>
  </si>
  <si>
    <t>Will you do either of the two foregoing activities under your own name or trademark?</t>
  </si>
  <si>
    <t>Although you are not a provider, will you still make the AI system available on the EU market?</t>
  </si>
  <si>
    <t>Are you established in the EU and will you place the AI system on the EU market under the name or trademark of a third-party outside the EU?</t>
  </si>
  <si>
    <t>2.13</t>
  </si>
  <si>
    <t>= in principle likely a high-risk AI system under the AI Act</t>
  </si>
  <si>
    <t>= likely no high-risk AI system under the AI Act, i.e. no special rules apply</t>
  </si>
  <si>
    <t>Art. 50</t>
  </si>
  <si>
    <t>Art. 55</t>
  </si>
  <si>
    <t>Art. 53</t>
  </si>
  <si>
    <t>Will you be using the AI system under your own authority?</t>
  </si>
  <si>
    <t>Are you established or located in the EU?</t>
  </si>
  <si>
    <r>
      <t xml:space="preserve">Do you make use of an automated component (e.g., program, IC) that generates relevant output based on input at least partially </t>
    </r>
    <r>
      <rPr>
        <i/>
        <sz val="11"/>
        <color theme="1"/>
        <rFont val="Calibri"/>
        <family val="2"/>
        <scheme val="minor"/>
      </rPr>
      <t>autonomous</t>
    </r>
    <r>
      <rPr>
        <sz val="11"/>
        <color theme="1"/>
        <rFont val="Calibri"/>
        <family val="2"/>
        <scheme val="minor"/>
      </rPr>
      <t xml:space="preserve"> (i.e. based on rules not defined by human beings)?</t>
    </r>
  </si>
  <si>
    <t>2.15</t>
  </si>
  <si>
    <t>2.14</t>
  </si>
  <si>
    <t>2.16</t>
  </si>
  <si>
    <t>2.17</t>
  </si>
  <si>
    <t>Whether you are subject to the AI Act as a "deployer"</t>
  </si>
  <si>
    <t>Note that the AI Act intends to also cover the providers of those AI systems where the output is intended to be used in the EU. However, the AI Act has been drafted in a manner that excludes these cases. We have decided to not include this case here, but it may still apply, depending on the interpretation of the AI Act.</t>
  </si>
  <si>
    <t>Summary</t>
  </si>
  <si>
    <t>Subject to the AI Act:</t>
  </si>
  <si>
    <t>Role(s) you have under the AI Act:</t>
  </si>
  <si>
    <t>= likely no prohibited activity under the AI Act</t>
  </si>
  <si>
    <t>Type of AI system as per the AI Act:</t>
  </si>
  <si>
    <t>The AI System or AI model</t>
  </si>
  <si>
    <t>Are you creating an AI model  that displays significant generality and is capable of competently performing a wide range of distinct tasks that can be integrated into a variety of downstream systems or applications?</t>
  </si>
  <si>
    <t>2.18</t>
  </si>
  <si>
    <t>Will you have developped (yourself or through a third-party) the AI system or model, partially or fully?</t>
  </si>
  <si>
    <t>Is the output produced by the AI system intended to be used in the EU?</t>
  </si>
  <si>
    <t>3.01</t>
  </si>
  <si>
    <t>3.02</t>
  </si>
  <si>
    <t>3.03</t>
  </si>
  <si>
    <t>3.04</t>
  </si>
  <si>
    <t>3.05</t>
  </si>
  <si>
    <t>3.07</t>
  </si>
  <si>
    <t>3.08</t>
  </si>
  <si>
    <r>
      <t xml:space="preserve">Is your application subject to the EU AI Act? </t>
    </r>
    <r>
      <rPr>
        <b/>
        <sz val="12"/>
        <color rgb="FFFF0000"/>
        <rFont val="Calibri"/>
        <family val="2"/>
        <scheme val="minor"/>
      </rPr>
      <t>[Beta Test]</t>
    </r>
  </si>
  <si>
    <t>* See separate worksheet for determining</t>
  </si>
  <si>
    <t>Role(s) of Company as per EU AI Act*:</t>
  </si>
  <si>
    <t>European Parliament legislative resolution of 13 March 2024 on the proposal for a regulation of the European Parliament and of the Council on laying down harmonised rules on Artificial Intelligence (Artificial Intelligence Act) and amending certain Union Legislative Acts (COM(2021)0206 – C9-0146/2021 – 2021/0106(COD))</t>
  </si>
  <si>
    <r>
      <rPr>
        <b/>
        <sz val="9"/>
        <color theme="1"/>
        <rFont val="Calibri"/>
        <family val="2"/>
        <scheme val="minor"/>
      </rPr>
      <t>Instruction:</t>
    </r>
    <r>
      <rPr>
        <sz val="9"/>
        <color theme="1"/>
        <rFont val="Calibri"/>
        <family val="2"/>
        <scheme val="minor"/>
      </rPr>
      <t xml:space="preserve"> Fill out the below fields with a description of the application at issue. Also include information about the personal data that may be processed by the application, unless you do not have any such personal data. The information you enter is for information purposes. It will allow those who need to check the compliance and assess the risks of your application to better understand what you are doing and why. </t>
    </r>
  </si>
  <si>
    <r>
      <rPr>
        <b/>
        <sz val="9"/>
        <color theme="1"/>
        <rFont val="Calibri"/>
        <family val="2"/>
        <scheme val="minor"/>
      </rPr>
      <t>Instruction:</t>
    </r>
    <r>
      <rPr>
        <sz val="9"/>
        <color theme="1"/>
        <rFont val="Calibri"/>
        <family val="2"/>
        <scheme val="minor"/>
      </rPr>
      <t xml:space="preserve"> The EU AI Act, once in force, will govern a number of AI use cases, whether they take place in the EU or not (i.e. the AI Act has extra-territorial effect). The following section lets you determine whether the AI Act will apply to your use case, whether your use case is prohibited under the AI Act or regulated as a high-risk AI system, and whether you are subject to the AI Act and in which role. Note that even if you do not have a high-risk AI system, some regulations (mainly concerning transparency) apply. </t>
    </r>
  </si>
  <si>
    <r>
      <rPr>
        <b/>
        <sz val="9"/>
        <color theme="1"/>
        <rFont val="Calibri"/>
        <family val="2"/>
        <scheme val="minor"/>
      </rPr>
      <t>Instruction:</t>
    </r>
    <r>
      <rPr>
        <sz val="9"/>
        <color theme="1"/>
        <rFont val="Calibri"/>
        <family val="2"/>
        <scheme val="minor"/>
      </rPr>
      <t xml:space="preserve"> Fill out the below fields with a description of the application at issue. Also include information about the personal data that may be processed by the application, unless you do not have any such personal data. The information you enter is for information purposes. It will allow those who need to check the compliance and assess the risks of your application to better understand what you are doing and why. At the end (in 1.18/1.19), please also make the selections that best fit the application with regard to the EU AI Act, if applicable (there is a separate worksheet that will help you determine the answers).</t>
    </r>
  </si>
  <si>
    <r>
      <rPr>
        <b/>
        <sz val="11"/>
        <color theme="1"/>
        <rFont val="Calibri"/>
        <family val="2"/>
        <scheme val="minor"/>
      </rPr>
      <t>Note:</t>
    </r>
    <r>
      <rPr>
        <sz val="11"/>
        <color theme="1"/>
        <rFont val="Calibri"/>
        <family val="2"/>
        <scheme val="minor"/>
      </rPr>
      <t xml:space="preserve"> The AI Act as been adopted by the European Parliament on March 13, 2024, but is not yet in force. The below is based on the version used for the vote (the link is listed below the following table). Note that this table is used by other worksheets, so you should not change it. Certain columns and rows are hidden. If you want to find out whether you and your application is subject to the AI Act, go to the worksheet with the AI Act Check.</t>
    </r>
  </si>
  <si>
    <r>
      <t xml:space="preserve">Is your application subject to the EU AI Act? </t>
    </r>
    <r>
      <rPr>
        <b/>
        <sz val="18"/>
        <color rgb="FFFF0000"/>
        <rFont val="Calibri"/>
        <family val="2"/>
        <scheme val="minor"/>
      </rPr>
      <t>[Beta Test]</t>
    </r>
  </si>
  <si>
    <t>Step 6:</t>
  </si>
  <si>
    <t>Could wrong (including biased) output of the AI solution have a significant negative effect on individuals (not considering the measures we take to prevent this)?</t>
  </si>
  <si>
    <t>Is there another reason (including considering the above assessment) why the AI solution could provide for a high risk of negative effects for the individuals about whom we process data (not considering the mitigation measures we take)?</t>
  </si>
  <si>
    <t>Determine the need for a DPIA</t>
  </si>
  <si>
    <t>Probability</t>
  </si>
  <si>
    <t>Risk scenario for persons about whom we process data</t>
  </si>
  <si>
    <t>Their residual risk</t>
  </si>
  <si>
    <t>Levels of harm to the individual:</t>
  </si>
  <si>
    <t>Thresholds of probability:</t>
  </si>
  <si>
    <t>Conclusion:</t>
  </si>
  <si>
    <t>Comments or objections by the 2nd Line:</t>
  </si>
  <si>
    <t>The affected persons are misidentified or mixed up</t>
  </si>
  <si>
    <t xml:space="preserve">Medium risk: </t>
  </si>
  <si>
    <t xml:space="preserve">High risk: </t>
  </si>
  <si>
    <t xml:space="preserve"> (for DPIA purposes)</t>
  </si>
  <si>
    <r>
      <rPr>
        <b/>
        <sz val="9"/>
        <color theme="1"/>
        <rFont val="Calibri"/>
        <family val="2"/>
        <scheme val="minor"/>
      </rPr>
      <t xml:space="preserve">Note: </t>
    </r>
    <r>
      <rPr>
        <sz val="9"/>
        <color theme="1"/>
        <rFont val="Calibri"/>
        <family val="2"/>
        <scheme val="minor"/>
      </rPr>
      <t>The values in the below tables and chart are used for the above data protection impact assessment table; you should not change them unless you have agreed so with or been instructed by your 2nd line.</t>
    </r>
  </si>
  <si>
    <r>
      <t xml:space="preserve">Data Protection Impact Assessment (DPIA) </t>
    </r>
    <r>
      <rPr>
        <sz val="12"/>
        <color theme="1"/>
        <rFont val="Calibri"/>
        <family val="2"/>
        <scheme val="minor"/>
      </rPr>
      <t>(only if personal data is processed)</t>
    </r>
    <r>
      <rPr>
        <b/>
        <sz val="12"/>
        <color theme="1"/>
        <rFont val="Calibri"/>
        <family val="2"/>
        <scheme val="minor"/>
      </rPr>
      <t xml:space="preserve"> </t>
    </r>
    <r>
      <rPr>
        <b/>
        <sz val="12"/>
        <color rgb="FFFF0000"/>
        <rFont val="Calibri"/>
        <family val="2"/>
        <scheme val="minor"/>
      </rPr>
      <t>[Beta Test]</t>
    </r>
  </si>
  <si>
    <t>Their data is processed for purposes not expected</t>
  </si>
  <si>
    <t>The processing results in incorrect/incomplete data</t>
  </si>
  <si>
    <t>Their right to be forgotten/opt-out cannot be fulfilled</t>
  </si>
  <si>
    <t>Their right of access their data cannot be fulfilled</t>
  </si>
  <si>
    <t>Their data is accessible by more people than necessary</t>
  </si>
  <si>
    <t>Their data is kept/processed for longer than necessary</t>
  </si>
  <si>
    <t>The processing results in unplanned denial of service</t>
  </si>
  <si>
    <t>The processing otherwise results in a wrong decision</t>
  </si>
  <si>
    <t>Their data gets corrupted/modified (unplanned)</t>
  </si>
  <si>
    <t>Their data is lost (unplanned)</t>
  </si>
  <si>
    <t>Unauthoritzed parties get access to their data (unplanned)</t>
  </si>
  <si>
    <t>The processing of their data is not transparent to them</t>
  </si>
  <si>
    <t>More data of them than necessary is obtained</t>
  </si>
  <si>
    <t>The processing could be unfair in some cases</t>
  </si>
  <si>
    <t>Countermeasures we will take (to prevent the scenario/damage)</t>
  </si>
  <si>
    <t>Comment (e.g., reason, further steps)</t>
  </si>
  <si>
    <t>Need a more comprehensive DPIA? Get the free open source VUD DPIA template with the integrated AI assistant. You can download it by clicking on this link.</t>
  </si>
  <si>
    <r>
      <t xml:space="preserve">Complete the DPIA </t>
    </r>
    <r>
      <rPr>
        <sz val="11"/>
        <color theme="1"/>
        <rFont val="Calibri"/>
        <family val="2"/>
        <scheme val="minor"/>
      </rPr>
      <t>(simplified form)</t>
    </r>
  </si>
  <si>
    <t>(see DPIA above)</t>
  </si>
  <si>
    <t>Results from above DPIA (if applicable):</t>
  </si>
  <si>
    <r>
      <t>Does our AI solution systematically process sensitive personal data or do profiling?</t>
    </r>
    <r>
      <rPr>
        <vertAlign val="superscript"/>
        <sz val="11"/>
        <color theme="1"/>
        <rFont val="Calibri"/>
        <family val="2"/>
        <scheme val="minor"/>
      </rPr>
      <t>11)</t>
    </r>
  </si>
  <si>
    <r>
      <t>Do we have a sufficient legal basis for processing personal data (where legally required)?</t>
    </r>
    <r>
      <rPr>
        <vertAlign val="superscript"/>
        <sz val="11"/>
        <color theme="1"/>
        <rFont val="Calibri"/>
        <family val="2"/>
        <scheme val="minor"/>
      </rPr>
      <t>12)</t>
    </r>
  </si>
  <si>
    <t xml:space="preserve">There are various reasons why organisations should or will want to log the use of the AI solution. First, data protection act may require audit trails to detect and track improper processing of personal data (e.g., Art. 4 Swiss Data Protection Ordinance). Second, the AI Act requires that high-risk AI systems log their activities (including input/output) and that deployers retain it for six months. Third, logging of input and output may be necessary for evidentiary purposes or because regulations require that companies document their activities and use of certain tools (namely for the purpose of regulatory investigations). </t>
  </si>
  <si>
    <r>
      <t>Do we fulfill applicable transparency obligations pursuant to Art. 50 EU AI Act?</t>
    </r>
    <r>
      <rPr>
        <vertAlign val="superscript"/>
        <sz val="11"/>
        <color theme="0" tint="-0.14993743705557422"/>
        <rFont val="Calibri"/>
        <family val="2"/>
        <scheme val="minor"/>
      </rPr>
      <t>8)</t>
    </r>
  </si>
  <si>
    <r>
      <t>Is the application included in the records of processing activities (where necessary)?</t>
    </r>
    <r>
      <rPr>
        <vertAlign val="superscript"/>
        <sz val="11"/>
        <color theme="1"/>
        <rFont val="Calibri"/>
        <family val="2"/>
        <scheme val="minor"/>
      </rPr>
      <t>7)</t>
    </r>
  </si>
  <si>
    <t>Art. 50 EU AI Act contains various transparency obligations for both providers and deployers of AI systems that apply even if the AI system is not considered "high-risk" (and, thus, subject to separate obligations). They are listed in the table in the separate worksheet "AI Act" (towards to the end).</t>
  </si>
  <si>
    <t>Does the application qualify as a prohibited or High-Risk AI System as per the EU AI Act (see Step 2)?</t>
  </si>
  <si>
    <t xml:space="preserve">Time period: </t>
  </si>
  <si>
    <t xml:space="preserve"> years from now</t>
  </si>
  <si>
    <t>An AI system that generates synthetic audio, image, video or text content</t>
  </si>
  <si>
    <t>An AI system that generates "deep fakes"</t>
  </si>
  <si>
    <t>AI generation or manipulation of text which is published for the purpose of informing the public</t>
  </si>
  <si>
    <t>= any AI system</t>
  </si>
  <si>
    <t>= general purpose AI model</t>
  </si>
  <si>
    <t>A general-purpose AI model</t>
  </si>
  <si>
    <t>= general purpose AI model with systemic risks</t>
  </si>
  <si>
    <t>Art. 4</t>
  </si>
  <si>
    <t>Anyone using an AI system or general purpose AI model</t>
  </si>
  <si>
    <t>AI Meeting Analyzer</t>
  </si>
  <si>
    <t>Other (Provider)</t>
  </si>
  <si>
    <t>Other (Provider &amp; Deployer)</t>
  </si>
  <si>
    <t>Other (Deployer)</t>
  </si>
  <si>
    <t>Drop-down selection for Column "AI Act":</t>
  </si>
  <si>
    <t>High-risk (Deployer)</t>
  </si>
  <si>
    <t>High-risk (Importer)</t>
  </si>
  <si>
    <t>High-risk (Distributor)</t>
  </si>
  <si>
    <t>High-risk (Provider)</t>
  </si>
  <si>
    <t>EU AI Act</t>
  </si>
  <si>
    <t>GPAIM (Provider)</t>
  </si>
  <si>
    <t>Other &amp; GPAIM (Provider)</t>
  </si>
  <si>
    <t>Other &amp; GPAIM (Provider &amp; Deployer)</t>
  </si>
  <si>
    <t>AI System</t>
  </si>
  <si>
    <t>Application/use case</t>
  </si>
  <si>
    <t>AI Product/Provider</t>
  </si>
  <si>
    <t>GAIRA Light</t>
  </si>
  <si>
    <t>GAIRA Comprehensive</t>
  </si>
  <si>
    <t>AI Act Check (Optional)</t>
  </si>
  <si>
    <t>Compliance Check (Optional)</t>
  </si>
  <si>
    <t>ROAIA</t>
  </si>
  <si>
    <t>AI Act</t>
  </si>
  <si>
    <t>Worksheet</t>
  </si>
  <si>
    <t>English</t>
  </si>
  <si>
    <t>The simplified risk assessment form for the business to complete to a large part on its own</t>
  </si>
  <si>
    <t>The form to do a comprehensive risk assessment for high-risk projects</t>
  </si>
  <si>
    <t>A tool to assess whether the EU AI Act and which roles apply</t>
  </si>
  <si>
    <t>A tool to do a basic compliance check</t>
  </si>
  <si>
    <t>A template for a "Records of AI applications"</t>
  </si>
  <si>
    <t>What has been changed or added to this Excel over time</t>
  </si>
  <si>
    <t>Deutsch</t>
  </si>
  <si>
    <t>Unternehmen:</t>
  </si>
  <si>
    <t>Abteilung:</t>
  </si>
  <si>
    <t>Vermögensverwaltung</t>
  </si>
  <si>
    <t>In Bearbeitung</t>
  </si>
  <si>
    <t>01.04.2024</t>
  </si>
  <si>
    <t>Name der Anwendung:</t>
  </si>
  <si>
    <t>Projekt Alpha</t>
  </si>
  <si>
    <t>Die Implementierung und Nutzung des Systems.</t>
  </si>
  <si>
    <t>Die zugrundeliegende Cloud-Infrastruktur (d.h. unser Tenant), einschliesslich ihrer Sicherheit</t>
  </si>
  <si>
    <t>Schritt 1:</t>
  </si>
  <si>
    <t>Worum geht es in Ihrer Anwendung?</t>
  </si>
  <si>
    <t>Bereich, in dem die Anwendung verwendet werden soll:</t>
  </si>
  <si>
    <t>Treffen unserer Kundenbetreuer mit unseren Vermögensverwaltungskunden.</t>
  </si>
  <si>
    <t>Was ist geplant:</t>
  </si>
  <si>
    <t>Die Bank möchte ein System implementieren, das eine KI-Lösung verwendet, um alle Kundenbeziehungs- und Beratungsgespräche automatisch aufzuzeichnen, zu transkribieren und zusammenzufassen. Ausserdem wird das System automatisch relevante Informationen für das CRM-System extrahieren, die noch fehlen oder neuer sind. Im Rahmen dessen wird das System verwendet, um das Potenzial für Netto-Neuvermögen eines Kunden zu identifizieren. Die Kunden werden gefragt, ob sie der Verwendung des Systems in Bezug auf ihre Beziehung zustimmen. Wenn ja, wird das System alle Interaktionen abdecken, egal ob per E-Mail, Telefon oder bei persönlichen Treffen. Die transkribierten, zusammengefassten und extrahierten Daten können vom Kundenbetreuer überprüft werden. Alle Aufnahmen und andere Kommunikationen mit den Kunden werden in unserem Cloud-Tenant gespeichert, bis sie verarbeitet wurden und dann gelöscht.</t>
  </si>
  <si>
    <t>Verfolgte Interessen:</t>
  </si>
  <si>
    <t>Die Bank möchte die Qualität und Vollständigkeit der Daten, die sie über ihre Kunden führt, verbessern und die Effizienz ihrer Kundenbetreuer steigern.</t>
  </si>
  <si>
    <t>Wir verwenden das DeltaPI-4 LLM und den Service von CloudCo, mit dem wir das LLM in unserem eigenen CloudCo-Mandanten verfügbar machen können.</t>
  </si>
  <si>
    <t>Anbieter, die beteiligt sind und ihre Rollen:</t>
  </si>
  <si>
    <t>CloudCo wird unser Anbieter sein, der sowohl unseren Mandanten (in einem Schweizer Rechenzentrum) betreibt als auch die KI-Dienste bereitstellt, durch die wir das DeltaPI-4-Modell nutzen können. Wir haben auch SoftCo als unseren Implementierungspartner genutzt.</t>
  </si>
  <si>
    <t>Die Eingaben sind die Aufzeichnungen von Besprechungen und Telefonaten, die vom Kunden erhaltenen E-Mails und andere Kommunikationen. Wir erlauben der Anwendung ausserdem, auf die bestehenden CRM-Daten des Kunden zuzugreifen.</t>
  </si>
  <si>
    <t>Die Ausgaben sind die Transkripte, die Zusammenfassungen und die extrahierten Daten, wobei all diese Ausgaben in das CRM importiert werden.</t>
  </si>
  <si>
    <t>Zeitraum und Nutzungshäufigkeit:</t>
  </si>
  <si>
    <t>Täglich, für die Dauer des Umstellungsprojekts</t>
  </si>
  <si>
    <t>Kein Training des Modells; Prompts werden durch vorhandene CRM-Datensätze ergänzt.</t>
  </si>
  <si>
    <t>Kategorien von betroffenen Personen, falls vorhanden:</t>
  </si>
  <si>
    <t>Kategorien personenbezogener Daten, falls vorhanden:</t>
  </si>
  <si>
    <t>Inhalt von Besprechungen, Inhalt von Kommunikationen (Anrufe, E-Mails, Briefe).</t>
  </si>
  <si>
    <t>Andere Personen oder Gruppen, die betroffen sein könnten:</t>
  </si>
  <si>
    <t>Keiner</t>
  </si>
  <si>
    <t>Das generierte Ergebnis wird vom Kundenbetreuer überprüft.</t>
  </si>
  <si>
    <t>Massnahmen zur Behandlung erkannter Probleme:</t>
  </si>
  <si>
    <t>Berichterstattung an den Anwendungsbesitzer zur Analyse und Behebung mit den Anwendungsingenieuren.</t>
  </si>
  <si>
    <t>Massnahmen zur Kontrolle von Cybersicherheitsrisiken:</t>
  </si>
  <si>
    <t>Gemäss der Gruppenrichtlinie zur Informationssicherheit.</t>
  </si>
  <si>
    <t>Vertragliche Bestimmungen zur Verarbeitung von CID, zur Gewährleistung der In-Geo-Verarbeitung (unser Mieter), zur Anwendung des Schweizer Datenschutzgesetzes, bezüglich Zweckbeschränkung und zur Gewährleistung der In-Geo-Verarbeitung (die KI-Dienste, die wir nutzen möchten); Opt-out von Inhaltsfilterung; Opt-out von Missbrauchsüberwachung und menschlicher Überprüfung; Überprüfung, dass die Missbrauchsüberwachung deaktiviert ist; vertragliche Entschädigungen im Falle von IP-Ansprüchen aufgrund der Nutzung von Azure OpenAI-Diensten; vorherige Zustimmung des Kunden einholen; Datenschutzhinweis aktualisieren; Zugriffsrecht; Testen; Überwachung, einschliesslich der Aufbewahrung von Protokollen; Verzicht auf Bankgeheimnis; Schulung von Kundenbetreuern.</t>
  </si>
  <si>
    <t>Projektplan:</t>
  </si>
  <si>
    <t>Eine Pilotphase im Q2 2024 mit vollständiger Einführung im Q3 2024.</t>
  </si>
  <si>
    <t>Andere Aspekte:</t>
  </si>
  <si>
    <t>Die erwarteten positiven Effekte:</t>
  </si>
  <si>
    <t>Höhere Datenqualität und mehr Daten über Kunden, was auch zu einer besseren Behandlung der Kunden führen wird. Höhere Effizienz.</t>
  </si>
  <si>
    <t>Schritt 2:</t>
  </si>
  <si>
    <t>Das KI-System oder KI-Modell</t>
  </si>
  <si>
    <t>Antwort</t>
  </si>
  <si>
    <t>Haben Sie das KI-System oder Modell selbst oder durch einen Drittanbieter teilweise oder vollständig entwickelt?</t>
  </si>
  <si>
    <t>Obwohl Sie kein Anbieter sind, werden Sie das KI-System trotzdem auf dem EU-Markt verfügbar machen?</t>
  </si>
  <si>
    <t>Zusammenfassung</t>
  </si>
  <si>
    <t>Schritt 3:</t>
  </si>
  <si>
    <t>Empfehlung:</t>
  </si>
  <si>
    <t>Gehe zu GAIRA</t>
  </si>
  <si>
    <t>Entscheidung über das weitere Vorgehen:</t>
  </si>
  <si>
    <t>Schritt 4:</t>
  </si>
  <si>
    <t>Wie gehen Sie mit den typischen Risiken von generativer KI um?</t>
  </si>
  <si>
    <t>Beschreibung</t>
  </si>
  <si>
    <t>Betrifft die Anwendung Daten, die dem Amts- oder Berufsgeheimnis unterliegen?</t>
  </si>
  <si>
    <t>Betrifft die Anwendung personenbezogene Daten?</t>
  </si>
  <si>
    <t>Bewertung</t>
  </si>
  <si>
    <t>Risikobehandlung</t>
  </si>
  <si>
    <t>Bewahren wir personenbezogene Daten im Zusammenhang mit der Lösung nur so lange auf, wie wir sie benötigen?</t>
  </si>
  <si>
    <t>Könnte unser Einsatz von KI unbeabsichtigte Folgen für andere haben (Schäden, Diskriminierung usw.)?</t>
  </si>
  <si>
    <t>Könnte unser Einsatz von KI jemanden irreführen oder täuschen?</t>
  </si>
  <si>
    <t>Werden die Benutzer unserer KI-Lösung in deren sachgemässen Gebrauch eingewiesen, geschult und überwacht?</t>
  </si>
  <si>
    <t>Schritt 5:</t>
  </si>
  <si>
    <t>Risikoszenario für Personen, über die wir Daten verarbeiten</t>
  </si>
  <si>
    <t>Wahrscheinlichkeit</t>
  </si>
  <si>
    <t>Kommentar (z.B. Grund, weitere Schritte)</t>
  </si>
  <si>
    <t>Schlussfolgerung:</t>
  </si>
  <si>
    <t>Kommentare oder Einwände der 2. Linie:</t>
  </si>
  <si>
    <t>Sehr unwahrscheinlich</t>
  </si>
  <si>
    <t>Unwahrscheinlich</t>
  </si>
  <si>
    <t>2</t>
  </si>
  <si>
    <t>Möglich</t>
  </si>
  <si>
    <t>3</t>
  </si>
  <si>
    <t>Wahrscheinlich</t>
  </si>
  <si>
    <t>4</t>
  </si>
  <si>
    <t>Schadensniveaus für die Einzelperson:</t>
  </si>
  <si>
    <t>Niedrig</t>
  </si>
  <si>
    <t>Mittelgross</t>
  </si>
  <si>
    <t>Hoch</t>
  </si>
  <si>
    <t>Sehr hoch</t>
  </si>
  <si>
    <t>Schritt 6:</t>
  </si>
  <si>
    <t>Schlussfolgerung</t>
  </si>
  <si>
    <t>(zur Bewertung durch den Anwendungsinhaber; bitte in die ROAIA aufnehmen)</t>
  </si>
  <si>
    <t>(vom Anwendungsinhaber zu übernehmen)</t>
  </si>
  <si>
    <t>Autor: David Rosenthal (drosenthal@vischer.com), VISCHER Legal Innovation Lab. Alle Rechte vorbehalten. Vielen Dank an alle, die bei der Erstellung und Verbesserung dieses Tools geholfen haben, insbesondere Jonas Baeriswyl (VISCHER) und Elias Mühlemann (VISCHER).</t>
  </si>
  <si>
    <t>(wählen)</t>
  </si>
  <si>
    <t>Rollen, die Sie unter dem AI Act haben:</t>
  </si>
  <si>
    <t>Erfüllen wir die anwendbaren Transparenzpflichten gemäss Art. 50 EU AI Act?</t>
  </si>
  <si>
    <t>Art. 50 EU AI Act enthält verschiedene Transparenzpflichten sowohl für Anbieter als auch für Betreiber von KI-Systemen, die auch dann gelten, wenn das KI-System nicht als "hochriskant" eingestuft wird (und somit gesonderten Pflichten unterliegt). Sie sind in der Tabelle im separaten Arbeitsblatt "AI Act" (gegen Ende) aufgelistet.</t>
  </si>
  <si>
    <r>
      <rPr>
        <b/>
        <sz val="9"/>
        <color theme="1"/>
        <rFont val="Calibri"/>
        <family val="2"/>
        <scheme val="minor"/>
      </rPr>
      <t>Einleitung:</t>
    </r>
    <r>
      <rPr>
        <sz val="9"/>
        <color theme="1"/>
        <rFont val="Calibri"/>
        <family val="2"/>
        <scheme val="minor"/>
      </rPr>
      <t xml:space="preserve"> GAIRA soll es einer Organisation ermöglichen, eine ganzheitliche Risikobewertung ihrer KI-Anwendungen vorzunehmen. Es gibt eine normale Version (siehe Arbeitsblatt "GAIRA Comprehensive") und es gibt die "Light"-Version von GAIRA, auf deren Arbeitsblatt Sie sich gerade befinden. Die "Light"-Version funktioniert am besten mit kleinen und mittelgrossen sowie Projekten mit geringerem Risiko. Beide Versionen von GAIRA sind unter der Leitung und der Verantwortung des "Business" oder des Inhabers der Anwendung zu vervollständigen, wobei IT- und Informationssicherheitsfachleute und Funktionen der 2nd Line wie Rechtsabteilung, Compliance und der DPO helfen sollten. Ein typischer Ansatz besteht darin, dass den Inhaber der Anwendung oder den Projektleiter das Formular vorbereitet und dann eine Diskussion mit den Fachleuten führt, um die Beurteilungen durchzugehen, zu diskutieren und abzuschliessen. Die letztendliche Entscheidung liegt beim "Business" oder dem Inhaber der Anwendung.</t>
    </r>
  </si>
  <si>
    <t>Inhaber der Anwendung:</t>
  </si>
  <si>
    <t>Status und Datum der Risikobeurteilung:</t>
  </si>
  <si>
    <t>Gegenstand der Beurteilung ist:</t>
  </si>
  <si>
    <t>Gegenstand der Beurteilung ist nicht:</t>
  </si>
  <si>
    <r>
      <rPr>
        <b/>
        <sz val="9"/>
        <color theme="1"/>
        <rFont val="Calibri"/>
        <family val="2"/>
        <scheme val="minor"/>
      </rPr>
      <t>Overview:</t>
    </r>
    <r>
      <rPr>
        <sz val="9"/>
        <color theme="1"/>
        <rFont val="Calibri"/>
        <family val="2"/>
        <scheme val="minor"/>
      </rPr>
      <t xml:space="preserve"> GAIRA is intended to allow an organization to make a holistic risk assessment of its AI applications. There is a normal version (see worksheet "GAIRA Comprehensive") and there is the "Light" version of GAIRA, on which worksheet you are right now. The "Light" version works best with small and medium sized and lower risk projects. Both versions of GAIRA are to be completed under the lead and the responsibility of the "business" or the application owner, whereas IT and information security experts and second line functions such as legal, compliance and the data protection officer should help. A typical approach is to have the application owner or project manager prepare the form and then have a discussion with the experts for going through the assessments, discussing and completing them. The ultimate decision is with the "business" or the application owner. </t>
    </r>
  </si>
  <si>
    <r>
      <rPr>
        <b/>
        <sz val="9"/>
        <color theme="1"/>
        <rFont val="Calibri"/>
        <family val="2"/>
        <scheme val="minor"/>
      </rPr>
      <t>Anleitung:</t>
    </r>
    <r>
      <rPr>
        <sz val="9"/>
        <color theme="1"/>
        <rFont val="Calibri"/>
        <family val="2"/>
        <scheme val="minor"/>
      </rPr>
      <t xml:space="preserve"> Füllen Sie die untenstehenden Felder mit einer Beschreibung der betreffenden Anwendung aus. Geben Sie auch Informationen über die personenbezogenen Daten an, die von der Anwendung verarbeitet werden können, es sei denn, Sie kommen keine solchen personenbezogenen Daten vor. Die von Ihnen eingegebenen Informationen dienen Informationszwecken. Sie ermöglichen es denjenigen, die die Einhaltung der Vorgaben überprüfen und die Risiken Ihrer Anwendung bewerten müssen, besser zu verstehen, was Sie tun und warum.</t>
    </r>
  </si>
  <si>
    <t>GenKI-Techniken, die verwendet werden sollen (einschliesslich Modell):</t>
  </si>
  <si>
    <t>Beschreibung der Eingabedaten (Input):</t>
  </si>
  <si>
    <t>Beschreibung der Ausgabedaten (Output):</t>
  </si>
  <si>
    <r>
      <t>Training oder Feinabstimmung des KI-Modells, RAG</t>
    </r>
    <r>
      <rPr>
        <vertAlign val="superscript"/>
        <sz val="11"/>
        <color theme="1"/>
        <rFont val="Calibri"/>
        <family val="2"/>
        <scheme val="minor"/>
      </rPr>
      <t>1</t>
    </r>
    <r>
      <rPr>
        <sz val="11"/>
        <color theme="1"/>
        <rFont val="Calibri"/>
        <family val="2"/>
        <scheme val="minor"/>
      </rPr>
      <t>:</t>
    </r>
  </si>
  <si>
    <t>Kundenbetreuer, Kunden und Personen, auf die sie in ihrer Kommunikation Bezug nehmen.</t>
  </si>
  <si>
    <t>Massnahmen zur menschliche Aufsicht über die KI:</t>
  </si>
  <si>
    <t>"Tiefe Temperatur"; Eingabedaten werden drei Monate nach der Extraktion gelöscht.</t>
  </si>
  <si>
    <t>Weitere technische Massnahmen zur Kontrolle von KI-Risiken:</t>
  </si>
  <si>
    <t>Weitere organisatorische Massnahmen zur Kontrolle von KI-Risiken:</t>
  </si>
  <si>
    <r>
      <t xml:space="preserve">Unterliegt Ihre Anwendung dem EU AI Act? </t>
    </r>
    <r>
      <rPr>
        <b/>
        <sz val="12"/>
        <color rgb="FFFF0000"/>
        <rFont val="Calibri"/>
        <family val="2"/>
        <scheme val="minor"/>
      </rPr>
      <t>[Beta-Test]</t>
    </r>
  </si>
  <si>
    <t xml:space="preserve">Beachten Sie, dass der AI Act auch die Anbieter jener KI-Systeme erfassen soll, deren Output in der EU verwendet werden soll. Allerdings wurde der AI Act so verfasst, dass Betreiber in diesen Fällen jedenfalls nach dem Wortlaut nicht erfasst sind. Wir haben entschieden, diesen Fall hier nicht vorzusehen, aber es kann natürlich sein, dass Rechtsanwender ihn auf dem Weg der Auslegung des AI Act zur Anwendung bringen. </t>
  </si>
  <si>
    <t>Erstellen Sie ein KI-Modell, das eine erhebliche allgemeine Verwendbarkeit aufweist und in der Lage ist, eine breite Palette von unterschiedlichen Aufgaben kompetent auszuführen und in eine Vielzahl von nachgelagerten Systemen oder Anwendungen integriert werden kann ("Allzweck-KI-Modell")?</t>
  </si>
  <si>
    <t>Werden Sie eine der beiden vorgenannten Aktivitäten unter Ihrem eigenen Namen oder Markenzeichen vornehmen?</t>
  </si>
  <si>
    <t>Will you be the first one placing the AI system or the general-purpose AI model on the EU market?</t>
  </si>
  <si>
    <t>Werden Sie es sein, der das KI-System oder das Allzweck-KI-Modell in der EU in Verkehr bringen?</t>
  </si>
  <si>
    <t>Will you make substantial modifications to the high-risk AI system that is already on the EU market?</t>
  </si>
  <si>
    <t>Will you put your name or trademark on the high-risk AI system that is already on the EU market?</t>
  </si>
  <si>
    <t>Will you be using the AI system for a high-risk activity (as above), even though the AI system was neither intended to be used for such activity by the provider of the system nor itself is high-risk?</t>
  </si>
  <si>
    <t>Werden Sie das KI-System für eine hochriskante Aktivität (wie oben beschrieben) verwenden, obwohl das KI-System vom Anbieter weder für eine solche Aktivität vorgesehen war noch selbst hochriskant ist?</t>
  </si>
  <si>
    <t>Is the AI system a safety component of your product, and will you (ii) place it on the EU market with your product under your own name or trademark or (ii) put it into service in the EU under your own name or trademarkt after the product has been placed on the market?</t>
  </si>
  <si>
    <t>Ist das KI-System eine Sicherheitskomponente Ihres Produkts und werden Sie es (i) zusammen mit Ihrem Produkt unter Ihrem eigenen Namen oder Markenzeichen in der EU in Verkehr bringen oder (ii) es unter Ihrem eigenen Namen oder Warenzeichen in der EU in Betrieb nehmen, nachdem das Produkt auf den Markt gebracht worden ist?</t>
  </si>
  <si>
    <t>Sind Sie in der EU ansässig und werden Sie das KI-System unter dem Namen oder dem Markenzeichen eines Drittanbieters (der ausserhalb der EU ist) im EU-Markt anbieten?</t>
  </si>
  <si>
    <t>Kommentar</t>
  </si>
  <si>
    <t>Comment</t>
  </si>
  <si>
    <t>Anwendbarkeit des AI Act:</t>
  </si>
  <si>
    <t>Art des KI-Systems gemäss AI Act:</t>
  </si>
  <si>
    <t>Ob Sie als "Betreiber" unter den AI Act fallen</t>
  </si>
  <si>
    <t>Ob Sie als "Anbieter" oder in einer ähnlichen Rolle unter den AI Act fallen</t>
  </si>
  <si>
    <t>Setzen Sie ein automatisiertes System (z.B. Computerprogramm, Chip) ein, welches basierend auf einem Input mindestens teilweise autonom (d.h. nicht nach von einem Menschen definierten Regeln) einen relevanten Output generiert?</t>
  </si>
  <si>
    <t>Will you be the first one putting the AI system into service by yourself or by someone else in the EU?</t>
  </si>
  <si>
    <t>Werden Sie es sein, der das KI-System in der EU erstmals in Betrieb nimmt oder dies Dritten erlaubt?</t>
  </si>
  <si>
    <t>Werden Sie das KI-System unter eigener Verantwortung nutzen?</t>
  </si>
  <si>
    <t>Haben Sie Ihren Sitz in der EU oder befinden Sie sich dort?</t>
  </si>
  <si>
    <t>Soll der vom KI-System erzeugte Output auch in der EU verwendet werden?</t>
  </si>
  <si>
    <t>Definitionen (Art. 3):</t>
  </si>
  <si>
    <t>Klassifizierung</t>
  </si>
  <si>
    <t>Quelle</t>
  </si>
  <si>
    <t>Qualifikation</t>
  </si>
  <si>
    <t>Anbieter</t>
  </si>
  <si>
    <t>Nicht erlaubt.</t>
  </si>
  <si>
    <t>Keine der Aktivitäten beschreibt, was wir tun</t>
  </si>
  <si>
    <t>Das KI-System ist eine Sicherheitskomponente eines Produkts oder ein Produkt selbst, das nach geltendem EU-Recht (Anhang II) einer Konformitätsbewertung durch eine dritte Partei unterzogen werden muss, bevor es auf den Markt gebracht oder in Betrieb genommen wird.</t>
  </si>
  <si>
    <t>Ein KI-System, das synthetische Audio-, Bild-, Video- oder Textinhalte generiert</t>
  </si>
  <si>
    <t>KI-Generierung oder -Manipulation von Texten, die zum Zweck der Information der Öffentlichkeit veröffentlicht werden</t>
  </si>
  <si>
    <t>= jedes KI-System</t>
  </si>
  <si>
    <t>Anbieter müssen unter anderem sicherstellen, dass Personen darüber informiert werden, dass sie mit einem KI-System interagieren, es sei denn, dies ist offensichtlich.</t>
  </si>
  <si>
    <t>Legislative Entschliessung des Europäischen Parlaments vom 13. März 2024 zu dem Vorschlag für eine Verordnung des Europäischen Parlaments und des Rates zur Festlegung harmonisierter Regeln für Künstliche Intelligenz (Gesetz über Künstliche Intelligenz) und zur Änderung bestimmter Rechtsakte der Union (COM(2021)0206 – C9-0146/2021 – 2021/0106(COD))</t>
  </si>
  <si>
    <t>Quelle:</t>
  </si>
  <si>
    <t>Ist Ihre Anwendung wahrscheinlich mit hohen Risiken für das Unternehmen verbunden?</t>
  </si>
  <si>
    <r>
      <rPr>
        <b/>
        <sz val="9"/>
        <color theme="1"/>
        <rFont val="Calibri"/>
        <family val="2"/>
        <scheme val="minor"/>
      </rPr>
      <t>Anleitung:</t>
    </r>
    <r>
      <rPr>
        <sz val="9"/>
        <color theme="1"/>
        <rFont val="Calibri"/>
        <family val="2"/>
        <scheme val="minor"/>
      </rPr>
      <t xml:space="preserve"> Nicht alle KI-Anwendungen und andere KI-Projekte müssen einer umfassenden Risikobewertung unterzogen werden. In vielen Fällen ist eine vereinfachte Bewertung der Risiken ausreichend. Die folgenden Fragen helfen Ihnen zu verstehen, ob Sie eine umfassende Bewertung durchführen sollten oder ob eine vereinfachte Bewertung ausreichend erscheint. Beantworten Sie die Fragen und das Formular wird Ihnen eine entsprechende Empfehlung abgeben. Am Ende liegt die Entscheidung bei Ihnen. Wenn Sie der Empfehlung nicht folgen, möchten Sie den Grund dazu dokumentieren.</t>
    </r>
  </si>
  <si>
    <t>3.06</t>
  </si>
  <si>
    <r>
      <t>Werden wir das von uns verwendete KI-Modell selbst erstellen oder trainieren (RAG</t>
    </r>
    <r>
      <rPr>
        <vertAlign val="superscript"/>
        <sz val="11"/>
        <color theme="1"/>
        <rFont val="Calibri"/>
        <family val="2"/>
        <scheme val="minor"/>
      </rPr>
      <t>1</t>
    </r>
    <r>
      <rPr>
        <sz val="11"/>
        <color theme="1"/>
        <rFont val="Calibri"/>
        <family val="2"/>
        <scheme val="minor"/>
      </rPr>
      <t xml:space="preserve"> ausgenommen)?</t>
    </r>
  </si>
  <si>
    <t>Wird unsere Anwendung Entscheide über andere Menschen treffen, die sie für wichtig halten werden?</t>
  </si>
  <si>
    <t>Wird unsere Anwendung mit einer grossen Anzahl von Personen betr. sensible Themen interagieren?</t>
  </si>
  <si>
    <t>Würden wir rechtliche Schritte in Erwägung ziehen, wenn eine dritte Partei eine Anwendung wie die unsere gegen uns oder mit unseren Daten verwenden würde?</t>
  </si>
  <si>
    <t>Hat unsere Anwendung ein hohes Potenzial für negative Schlagzeilen in den Medien ("Shitstorm")?</t>
  </si>
  <si>
    <t>Nutzen wir unsere Anwendung nicht nur für unsere Zwecke, sondern bieten wir sie auch Dritten an?</t>
  </si>
  <si>
    <t>Erfordert unsere Anwendung eine grosse Investition, oder ist sie von strategischer Bedeutung?</t>
  </si>
  <si>
    <r>
      <t xml:space="preserve">Vorbereitende Fragen </t>
    </r>
    <r>
      <rPr>
        <sz val="11"/>
        <color theme="1"/>
        <rFont val="Calibri"/>
        <family val="2"/>
        <scheme val="minor"/>
      </rPr>
      <t>(werden untenstehende Fragen ein- oder ausschalten)</t>
    </r>
  </si>
  <si>
    <r>
      <t>Gehen wir angemessen mit der Übertragung personenbezogener Daten in "unsichere" Länder um?</t>
    </r>
    <r>
      <rPr>
        <vertAlign val="superscript"/>
        <sz val="11"/>
        <color theme="1"/>
        <rFont val="Calibri"/>
        <family val="2"/>
        <scheme val="minor"/>
      </rPr>
      <t>5)</t>
    </r>
  </si>
  <si>
    <t>Compliance-Fragen</t>
  </si>
  <si>
    <t>Werden wir einen oder mehrere Provider (mit Zugriff auf unsere Daten) verwenden?</t>
  </si>
  <si>
    <t>Dürfen unsere Provider den Input oder den Output der KI überwachen (z.B. aus Gründen der Sicherheit und Einhaltung der Nutzungsbeschränkungen)?</t>
  </si>
  <si>
    <t>Dürfen unsere Provider unsere Daten für eigene oder fremde Zwecke verwenden (z.B. KI-Training)?</t>
  </si>
  <si>
    <t>Grund (inkl. ergriffene/geplante Massnahmen)</t>
  </si>
  <si>
    <t>Kommentar 2nd Line</t>
  </si>
  <si>
    <t>Durch wen?</t>
  </si>
  <si>
    <t>(siehe DSFA oben)</t>
  </si>
  <si>
    <t>(vom Inhaber der Anwendung zu treffen)</t>
  </si>
  <si>
    <t>Begründung:</t>
  </si>
  <si>
    <r>
      <rPr>
        <b/>
        <sz val="9"/>
        <color theme="1"/>
        <rFont val="Calibri"/>
        <family val="2"/>
        <scheme val="minor"/>
      </rPr>
      <t>Anleitung:</t>
    </r>
    <r>
      <rPr>
        <sz val="9"/>
        <color theme="1"/>
        <rFont val="Calibri"/>
        <family val="2"/>
        <scheme val="minor"/>
      </rPr>
      <t xml:space="preserve"> Gehen Sie alle untenstehenden Fragen durch (ausser denen, die ausgegraut sind). Beginnen Sie oben und geben Sie Ihre Antwort in Spalte "E". Abhängig von den Antworten auf die "Vorbereitenden Fragen" werden einige der folgenden Fragen automatisch ausgegraut und müssen nicht beantwortet werden. In Spalte "F" sollten Sie eine Beschreibung oder Begründung Ihrer Antwort erfassen, insbesondere falls Ihre Antwort Fragen aufwerfen könnte. Je nach Ihrer Antwort wird Ihnen das Formular mitteilen, ob Ihre Antwort tatsächlich problematisch ist. In diesem Fall erscheint eine Warnung in Spalte "G". Wo dies der Fall ist, können Sie nur fortfahren, wenn Sie Ihre "2nd Line"-Funktionen (z.B. Ihre Rechtsabteilung, die Compliance-Stelle, der DPO, der KI-Beauftragte, der CISO usw.) ihre Einschätzung der Situation abgegeben haben. Diese Stellen werden ihre Empfehlung in Spalte "H" einfügen und deren Kürzel in Spalte "I" erfassen. Sobald dies geschehen ist, kann der Inhaber der Anwendung entscheiden, ob das Risiko akzeptiert wird oder nicht. Fügen Sie am Ende dieses Abschnitts schliesslich noch die Anzahl Jahre hinzu, von denen Sie glauben, dass die Situation betreffend Ihre Anwendung einigermassen stabil bleiben wird (diese Zahl bestimmt, wann diese Risikobeurteilung in jedem Fall erneut vorgenommen werden muss).</t>
    </r>
  </si>
  <si>
    <r>
      <t xml:space="preserve">Datenschutz-Folgenabschätzung (DSFA) </t>
    </r>
    <r>
      <rPr>
        <sz val="12"/>
        <color theme="1"/>
        <rFont val="Calibri"/>
        <family val="2"/>
        <scheme val="minor"/>
      </rPr>
      <t xml:space="preserve">(nur falls personenbezogene Daten verarbeitet werden) </t>
    </r>
    <r>
      <rPr>
        <b/>
        <sz val="12"/>
        <color rgb="FFFF0000"/>
        <rFont val="Calibri"/>
        <family val="2"/>
        <scheme val="minor"/>
      </rPr>
      <t>[Beta-Test]</t>
    </r>
  </si>
  <si>
    <r>
      <t>Sind unsere Provider (wo nötig) für die Verarbeitung von geheimen Daten zugelassen?</t>
    </r>
    <r>
      <rPr>
        <vertAlign val="superscript"/>
        <sz val="11"/>
        <color theme="1"/>
        <rFont val="Calibri"/>
        <family val="2"/>
        <scheme val="minor"/>
      </rPr>
      <t>6)</t>
    </r>
  </si>
  <si>
    <r>
      <t>Schützen unsere Providerverträge die vertraulichen und geschützten Daten, die wir ggf. verwenden?</t>
    </r>
    <r>
      <rPr>
        <vertAlign val="superscript"/>
        <sz val="11"/>
        <color theme="1"/>
        <rFont val="Calibri"/>
        <family val="2"/>
        <scheme val="minor"/>
      </rPr>
      <t>4)</t>
    </r>
  </si>
  <si>
    <t>Haben wir die Datenschutzerklärung (soweit notwendig) nachgeführt?</t>
  </si>
  <si>
    <r>
      <t>Ist die Anwendung im Verzeichnis der Verarbeitungstätigkeiten aufgenommen (soweit notwending)?</t>
    </r>
    <r>
      <rPr>
        <vertAlign val="superscript"/>
        <sz val="11"/>
        <color theme="1"/>
        <rFont val="Calibri"/>
        <family val="2"/>
        <scheme val="minor"/>
      </rPr>
      <t>7)</t>
    </r>
  </si>
  <si>
    <r>
      <t>Are we securely logging the input, output and other use of the application?</t>
    </r>
    <r>
      <rPr>
        <vertAlign val="superscript"/>
        <sz val="11"/>
        <color theme="1"/>
        <rFont val="Calibri"/>
        <family val="2"/>
        <scheme val="minor"/>
      </rPr>
      <t>9)</t>
    </r>
  </si>
  <si>
    <t>Protokollieren wir den Input, Output und Nutzung der Anwendung auf sichere Weise?</t>
  </si>
  <si>
    <r>
      <t>Könnte unsere Anwendung dazu führen, dass personenbezogene Daten in "unsichere" Länder übertragen werden?</t>
    </r>
    <r>
      <rPr>
        <vertAlign val="superscript"/>
        <sz val="11"/>
        <color theme="1"/>
        <rFont val="Calibri"/>
        <family val="2"/>
        <scheme val="minor"/>
      </rPr>
      <t>2)</t>
    </r>
  </si>
  <si>
    <r>
      <t>Haben wir eine angemessene Auftragsverarbeitungsvereinbarung mit unsere(m/n) Provider(n)?</t>
    </r>
    <r>
      <rPr>
        <vertAlign val="superscript"/>
        <sz val="11"/>
        <color theme="1"/>
        <rFont val="Calibri"/>
        <family val="2"/>
        <scheme val="minor"/>
      </rPr>
      <t>4)</t>
    </r>
  </si>
  <si>
    <r>
      <t>Is our use of 3rd party confidential and protected data in line with our contractual obligations?</t>
    </r>
    <r>
      <rPr>
        <vertAlign val="superscript"/>
        <sz val="11"/>
        <color theme="1"/>
        <rFont val="Calibri"/>
        <family val="2"/>
        <scheme val="minor"/>
      </rPr>
      <t>10)</t>
    </r>
  </si>
  <si>
    <r>
      <t>Verwenden wir vertrauliche und geschützte Daten Dritter nur so, wie unsere Verträge das erlauben?</t>
    </r>
    <r>
      <rPr>
        <vertAlign val="superscript"/>
        <sz val="11"/>
        <color theme="1"/>
        <rFont val="Calibri"/>
        <family val="2"/>
        <scheme val="minor"/>
      </rPr>
      <t>10)</t>
    </r>
  </si>
  <si>
    <t>Haben wir ein Opt-out betr. Verwendung unserer Daten durch den Provider oder sind wir mit ihr einverstanden?</t>
  </si>
  <si>
    <t>Haben wir ein Opt-out betr. Überwachung unserer Daten durch den Provider oder sind wir mit ihr einverstanden?</t>
  </si>
  <si>
    <t>Haben wir sichergestellt, dass unsere KI-Lösung gegenüber unbefugten Dritten keine vertraulichen Daten oder personenbezogenen Daten preisgeben wird?</t>
  </si>
  <si>
    <t>Have we ensured that our AI solution will not leak confidential data or personal data to others?</t>
  </si>
  <si>
    <r>
      <t>Verarbeitet unsere KI-Lösung systematisch sensible personenbezogene Daten oder macht sie Profiling?</t>
    </r>
    <r>
      <rPr>
        <vertAlign val="superscript"/>
        <sz val="11"/>
        <color theme="1"/>
        <rFont val="Calibri"/>
        <family val="2"/>
        <scheme val="minor"/>
      </rPr>
      <t>11)</t>
    </r>
  </si>
  <si>
    <t>Are we using personal data only for one of its original purposes (or one that had to be expected)?</t>
  </si>
  <si>
    <t>Verwenden wir personenbezogene Daten nur für einen der Zwecke, für welchen sie ursprünglich beschafft worden sind (oder einen anderen Zweck, der zu erwarten war)?</t>
  </si>
  <si>
    <t>Haben wir unseren Gebrauch von personenbezogenen Daten auf das für den verfolgten Zweck notwendige Minimum beschränkt?</t>
  </si>
  <si>
    <t>Begrenzen wir den Zugang zu unseren Daten innerhalb der Lösung nach dem "Need-to-Know"-Prinzip?</t>
  </si>
  <si>
    <t>Können wir Begehren betroffener Personen (z.B. auf Auskunft, Korrektur, Widerspruch, Löschung) bei Bedarf erfüllen?</t>
  </si>
  <si>
    <t>Do we have measures in place ensuring an adequate data security and business continuity?</t>
  </si>
  <si>
    <t>Informieren wir andere über unseren Einsatz von KI, soweit dies für ihre Interaktion mit uns relevant sein könnte?</t>
  </si>
  <si>
    <t>Könnten die Öffentlichkeit oder die von unserem Einsatz von KI betroffenen Personen diesen als unfair oder anstössig empfinden?</t>
  </si>
  <si>
    <t>Could the public or those affected by our use of AI find it unfair or objectionable?</t>
  </si>
  <si>
    <t>Wurde unsere KI-Lösung vor ihrem Einsatz umfassend getestet, auch gegen Angriffe von Dritten?</t>
  </si>
  <si>
    <t>Könnte unsere Einsatz von KI als ein Ausnutzen von Schwächen einzelner Personen betrachtet werden?</t>
  </si>
  <si>
    <t>Are we using a widely recognized, quality AI model with behavior we in principle understand?</t>
  </si>
  <si>
    <t>Nutzen wir ein allgemein anerkanntes, qualitativ hochwertiges KI-Modell, dessen Verhalten wir im Prinzip verstehen?</t>
  </si>
  <si>
    <t>Haben wir Massnahmen vorgesehen, um unerwünschtes Verhalten unserer KI-Lösung zu erkennen, zu protokollieren und darauf zu reagieren?</t>
  </si>
  <si>
    <t>Haben wir Massnahmen vorgesehen, um fehlerhaften oder sonst problematischen Output (z.B. Bias) zu vermeiden oder damit umzugehen?</t>
  </si>
  <si>
    <t>Haben wir Massnahmen vorgesehen zur Gewährleistung einer angemessenen Datensicherheit und Geschäftsfortführung?</t>
  </si>
  <si>
    <t>Respektiert unser Einsatz von KI die Würde und Selbstbestimmung der davon betroffenen Personen?</t>
  </si>
  <si>
    <t>Sehen wir irgendwelche anderen Probleme im Zusammenhang mit unserer Einsatz von KI, die wir nicht unter Kontrolle haben?</t>
  </si>
  <si>
    <t>Für wie viele Jahre werden diese Antworten nach Ihrer Ansicht mehr oder weniger gültig bleiben?</t>
  </si>
  <si>
    <r>
      <t>Haben wir eine ausreichende rechtliche Grundlage für die Verarbeitung personenbezogener Daten (soweit eine solche gesetzlich erforderlich ist)?</t>
    </r>
    <r>
      <rPr>
        <vertAlign val="superscript"/>
        <sz val="11"/>
        <color theme="1"/>
        <rFont val="Calibri"/>
        <family val="2"/>
        <scheme val="minor"/>
      </rPr>
      <t>12)</t>
    </r>
  </si>
  <si>
    <t>Haben wir überall dort, wo unsere KI-Lösung wichtige Entscheide trifft oder beeinflussen könnte, eine menschliche Aufsicht?</t>
  </si>
  <si>
    <t>Werden öffentliche Bereiche systematisch und umfangreich überwacht werden?</t>
  </si>
  <si>
    <t>Will we be systematically monitoring public areas on a large scale?</t>
  </si>
  <si>
    <r>
      <t>Will we be extensively processing sensitive personal data</t>
    </r>
    <r>
      <rPr>
        <vertAlign val="superscript"/>
        <sz val="11"/>
        <color theme="1"/>
        <rFont val="Calibri"/>
        <family val="2"/>
        <scheme val="minor"/>
      </rPr>
      <t>11)</t>
    </r>
    <r>
      <rPr>
        <sz val="11"/>
        <color theme="1"/>
        <rFont val="Calibri"/>
        <family val="2"/>
        <scheme val="minor"/>
      </rPr>
      <t>?</t>
    </r>
  </si>
  <si>
    <r>
      <t>Werden umfangreich sensible personenbezogene Daten</t>
    </r>
    <r>
      <rPr>
        <vertAlign val="superscript"/>
        <sz val="11"/>
        <color theme="1"/>
        <rFont val="Calibri"/>
        <family val="2"/>
        <scheme val="minor"/>
      </rPr>
      <t>11)</t>
    </r>
    <r>
      <rPr>
        <sz val="11"/>
        <color theme="1"/>
        <rFont val="Calibri"/>
        <family val="2"/>
        <scheme val="minor"/>
      </rPr>
      <t xml:space="preserve"> verarbeitet werden?</t>
    </r>
  </si>
  <si>
    <t>Ermitteln Sie, ob eine DSFA nötig ist</t>
  </si>
  <si>
    <t>Is there a systematic, extensive evaluation of personal aspects of individuals based on AI or otherwise automated, which may have a legal or otherwise significant negative impact on these individuals?</t>
  </si>
  <si>
    <t>Findet eine systematische, umfangreiche Bewertung persönlicher Apsekte eines Menschen auf KI-Basis oder sonst automatisiert statt, welche rechtliche oder sonst erhebliche negative Auswirkung auf diese Menschen haben können?</t>
  </si>
  <si>
    <t>Könnte ein fehlerhafter (einschliesslich voreingenommener) Output der KI-Lösung einen erheblichen negativen Effekt auf betroffene Personen haben (ohne bereits jene Massnahmen zu berücksichtigen, die wir gegen solche Folgen möglicherweise ergreifen)?</t>
  </si>
  <si>
    <t>Gibt es sonst einen Grund (unter Berücksichtigung der obigen Risikoeinschätzung), warum die KI-Lösung ein hohes Risiko negativer Auswirkungen für Personen mit sich bringen könnte, über die wir Daten verarbeiten (ohne die von uns allenfalls ergriffenen Gegenmassnahmen zu berücksichtigen)?</t>
  </si>
  <si>
    <t>Müssen wir eine DSFA durchführen?</t>
  </si>
  <si>
    <t>Is the AI solution subject to an increased risk of attacks by third parties and could a successful attack have significant negative effects for individuals?</t>
  </si>
  <si>
    <t>Ist die KI-Lösung einem erhöhten Risiko von Angriffen durch Dritte ausgesetzt und könnte ein erfolgreicher Angriff erhebliche negative Auswirkungen auf betroffene Personen haben?</t>
  </si>
  <si>
    <t>Füllen Sie die DSFA aus (für einfachere Fälle)</t>
  </si>
  <si>
    <r>
      <rPr>
        <b/>
        <sz val="9"/>
        <color theme="1"/>
        <rFont val="Calibri"/>
        <family val="2"/>
        <scheme val="minor"/>
      </rPr>
      <t>Instruction:</t>
    </r>
    <r>
      <rPr>
        <sz val="9"/>
        <color theme="1"/>
        <rFont val="Calibri"/>
        <family val="2"/>
        <scheme val="minor"/>
      </rPr>
      <t xml:space="preserve"> A data protection impact assessment or DPIA is required by the GDPR and Swiss Data Protection Act (DPA) if the processing of personal data is likely to bear a high risk of unwanted negative consequences for the individuals about whom you process personal data. The "high risk" is determined absent the mitigating measures you may take. Even if you manage to control all risks, you will have to do a DPIA if the risk of the AI solution you are planning to implement is inherently high. In the first part of this section it will be determined whether such an inherent high risk exists. If so, you will have to complete the second part of this section. The purpose is to identify the risks of your AI solution to the individuals affected and see whether any additional measures need to be implemented to control them. Unless you identify any high residual risks, you can continue. If you have high risks despite the countermeasures, you will have to discuss this with your 2nd line, as processing activities with a high residual risk usually have to be submitted to the data protection authority (under the GDPR and Swiss DPA). If you want to perform a DPIA with another tool, you may do so, of course. The below DPIA has been designed for simple cases.</t>
    </r>
  </si>
  <si>
    <r>
      <rPr>
        <b/>
        <sz val="9"/>
        <color theme="1"/>
        <rFont val="Calibri"/>
        <family val="2"/>
        <scheme val="minor"/>
      </rPr>
      <t>Instruction:</t>
    </r>
    <r>
      <rPr>
        <sz val="9"/>
        <color theme="1"/>
        <rFont val="Calibri"/>
        <family val="2"/>
        <scheme val="minor"/>
      </rPr>
      <t xml:space="preserve"> Go through all of the risk scenarios below (if you believe relevant risks concerning your processing of personal data are not covered, you should add them). Each of them describes something that could happen with regard to the processing of personal data that is unwanted and unplanned for, but could potentially result in negative consequences for the data subjects, i.e. the individuals about whom we are processing personal data. In column "D" you should list the most important measures you have or plan to implement to prevent this from happening (e.g., the security measures you envisage, privacy notices, human oversight). Then select the probability with which you believe that the scenario could nevertheless (i.e. despite all the mitigating measures) happen in the time period of the DPIA (see below, by default three years)). In column "F" please describe the reasonably possible negative consequences for the data subjects and then rate their personal exposure to damage (not the exposure of the organisation), should the risk scenario occur. The system will calculate the residual risk, and you can provide a final comment on it (for instance why you believe it is particular high or low). Have the 2nd line comment on it (or help you if you).</t>
    </r>
  </si>
  <si>
    <t>Massnahmen, mit denen wir den Eintritt oder Schaden verhindern</t>
  </si>
  <si>
    <t>Mögliche negative Folgen für die Einzelpersonen</t>
  </si>
  <si>
    <t>Possible negative consequences for the individuals</t>
  </si>
  <si>
    <t>Restrisiko</t>
  </si>
  <si>
    <t>Benötigen Sie eine umfassendere DSFA? Holen Sie sich die kostenlose Open-Source-DSFA-Vorlage des VUD mit dem integrierten KI-Assistenten. Sie können sie herunterladen, indem Sie auf diesen Link klicken.</t>
  </si>
  <si>
    <t>Unbefugte erhalten Zugang zu deren Daten (ungeplant)</t>
  </si>
  <si>
    <t>Deren Daten werden beschädigt/verändert (ungeplant)</t>
  </si>
  <si>
    <t>Deren Daten gehen verloren (ungeplant)</t>
  </si>
  <si>
    <t>Deren Daten werden zu unerwarteten Zwecken verarbeitet</t>
  </si>
  <si>
    <t>Die Verarbeitung führt zu falschen/unvollständigen Daten</t>
  </si>
  <si>
    <t>Die Verarbeitung ihrer Daten ist für diese nicht transparent</t>
  </si>
  <si>
    <t>Mehr Daten über sie als notwendig werden erhoben</t>
  </si>
  <si>
    <t>Deren Daten sind für mehr Personen als notwendig zugänglich</t>
  </si>
  <si>
    <t>Deren Daten werden länger als nötig aufbewahrt/verarbeitet</t>
  </si>
  <si>
    <t>Die betroffenen Personen werden verwechselt oder durcheinandergebracht</t>
  </si>
  <si>
    <t>Die Verarbeitung führt zu einer ungewollten Verweigerung einer Leistung gegenüber einer betroffenen Person</t>
  </si>
  <si>
    <t>Die Verarbeitung könnte in einigen Fällen unfair sein</t>
  </si>
  <si>
    <t>Die Verarbeitung führt sonst zu einer falschen Entscheidung</t>
  </si>
  <si>
    <t>Their right to correct data cannot be fulfilled</t>
  </si>
  <si>
    <t>Deren Recht auf Vergessenwerden/Opt-out kann nicht erfüllt werden</t>
  </si>
  <si>
    <t>Deren Recht auf Berichtigung kann nicht erfüllt werden</t>
  </si>
  <si>
    <t>Deren Recht auf Auskunft kann nicht erfüllt werden</t>
  </si>
  <si>
    <r>
      <rPr>
        <b/>
        <sz val="9"/>
        <color theme="1"/>
        <rFont val="Calibri"/>
        <family val="2"/>
        <scheme val="minor"/>
      </rPr>
      <t>Anleitung:</t>
    </r>
    <r>
      <rPr>
        <sz val="9"/>
        <color theme="1"/>
        <rFont val="Calibri"/>
        <family val="2"/>
        <scheme val="minor"/>
      </rPr>
      <t xml:space="preserve"> Gehen Sie alle unten aufgeführten Risikoszenarien durch (Sie sollten weitere hinzufügen, falls Sie der Meinung sind, dass für Ihren Fall wichtige Risiken für die betroffenen Personen nicht damit abgedeckt sind). Jedes dieser Risikoszenarien beschreibt einen unerwünschten Vorfall, der im Zusammenhang mit der Verarbeitung personenbezogener Daten eintreten könnte und potenziell negative Folgen für die betroffenen Personen haben könnte (mit betroffenen Personen sind die Menschen gemeint, über die personenbezogene Daten verarbeitet werden). In Spalte "D" sollten Sie die wichtigsten Massnahmen auflisten, die Sie implementieren wollen oder schon implementiert haben, um dieses Szenario oder seine Folgen zu verhindern (z.B. Sicherheitsmassnahmen, Datenschutzhinweise, menschliche Aufsicht). Wählen Sie dann die Wahrscheinlichkeit aus, mit welche nach Ihrer Ansicht das das Szenario dennoch (d.h. trotz aller Gegenmassnahmen) im Zeitraum der DSFA (siehe unten, standardmässig drei Jahre) eintreten könnte. In Spalte "F" beschreiben Sie die vernünftigerweise möglichen negativen Konsequenzen für die betroffenen Personen und bewerten dann das Risiko solcher Schäden für diese Personen (nicht für Ihre Organisation), sollte das Risikoszenario eintreten. Das System wird das verbleibende Risiko berechnen, und Sie können einen abschliessenden Kommentar dazu erfassen (z.B. warum Sie glauben, dass das Risiko besonders hoch oder tief ist). Legen Sie Ihre Beurteilung der 2. Linie vor (und lassen Sie sich von ihr bei Bedarf helfen).</t>
    </r>
  </si>
  <si>
    <t>Angaben zur Wahrscheinlichkeit:</t>
  </si>
  <si>
    <t xml:space="preserve"> (für die Zwecke der DSFA)</t>
  </si>
  <si>
    <t xml:space="preserve">Mittleres Risiko: </t>
  </si>
  <si>
    <t xml:space="preserve">Hohes Risiko: </t>
  </si>
  <si>
    <t xml:space="preserve">Zeitraum: </t>
  </si>
  <si>
    <t xml:space="preserve"> Jahre ab jetzt</t>
  </si>
  <si>
    <t>Schadensrisiko</t>
  </si>
  <si>
    <r>
      <rPr>
        <b/>
        <sz val="9"/>
        <color theme="1"/>
        <rFont val="Calibri"/>
        <family val="2"/>
        <scheme val="minor"/>
      </rPr>
      <t>Hinweis:</t>
    </r>
    <r>
      <rPr>
        <sz val="9"/>
        <color theme="1"/>
        <rFont val="Calibri"/>
        <family val="2"/>
        <scheme val="minor"/>
      </rPr>
      <t xml:space="preserve"> Die Werte in den untenstehenden Tabellen werden für die Selektionsmöglichkeiten in der obigen Tabelle verwendet; Sie sollten sie nicht ändern, es sei denn, Sie haben dies mit Ihrer 2. Linie abgesprochen oder wurden von dieser dazu angewiesen.</t>
    </r>
  </si>
  <si>
    <r>
      <rPr>
        <b/>
        <sz val="9"/>
        <color theme="1"/>
        <rFont val="Calibri"/>
        <family val="2"/>
        <scheme val="minor"/>
      </rPr>
      <t>Anleitung:</t>
    </r>
    <r>
      <rPr>
        <sz val="9"/>
        <color theme="1"/>
        <rFont val="Calibri"/>
        <family val="2"/>
        <scheme val="minor"/>
      </rPr>
      <t xml:space="preserve"> Sobald Sie bei Schritt 6 angelangt sind, sind Sie fast fertig. Die erste Zeile unten enthält eine Empfehlung basierend auf den oben gemachten Angaben. Lassen Sie die Funktionen der 2. Linie und andere Stakeholder (z.B. andere Geschäftsfunktionen, mit denen Sie Ihre Risikobewertung besprochen haben) das Ergebnis kommentieren und berücksichtigen Sie diese in Ihrem weiteren Vorgehen. Sie müssen dann das Gesamtrisikoniveau Ihrer Anwendung (niedrig, mittel, hoch, sehr hoch) für Ihre Organisation bewerten. Der Wert kann für das Verzeichnis der KI-Aktivitäten (ROAIA) verwendet werden. Erfassen Sie abschliessend Ihren Entscheid, wie Sie in Bezug auf das Vorhaben weiter vorgehen möchten. Es hat auch Platz für weitere Kommentare, die Sie allenfalls für die Unterlagen festhalten möchten. Vergessen Sie nicht, den Status und das Datum im ersten Abschnitt des Formulars nachzuführen.</t>
    </r>
  </si>
  <si>
    <r>
      <rPr>
        <b/>
        <sz val="9"/>
        <color theme="1"/>
        <rFont val="Calibri"/>
        <family val="2"/>
        <scheme val="minor"/>
      </rPr>
      <t>Instruction:</t>
    </r>
    <r>
      <rPr>
        <sz val="9"/>
        <color theme="1"/>
        <rFont val="Calibri"/>
        <family val="2"/>
        <scheme val="minor"/>
      </rPr>
      <t xml:space="preserve"> Once you have come to this step 5, you are almost done. The first line below will give you a recommendation based on the above responses you have made. Let the 2nd line functions and other stakeholders (e.g., other business functions with whom you have discussed your risk assessment) add any comments they wish and consider them. At the end, you are asked to assess the overall risk level of your application (low, medium, high, very high) in terms of the risk for the organization. The value can then be used for the Records of AI Activities (ROAIA). Finally, record your decision as how you wish to proceed and provide any comments you deem fit for the record. Don't forget to update the status and date in the top section of the form.</t>
    </r>
  </si>
  <si>
    <t>Empfehlung basierend auf Schritt 4:</t>
  </si>
  <si>
    <t>Recommendation based on Step 4:</t>
  </si>
  <si>
    <t>Ergebnisse aus der obigen DSFA (falls anwendbar):</t>
  </si>
  <si>
    <t>Kommentare oder Einwände anderer Stellen:</t>
  </si>
  <si>
    <t>Gesamtrisiko:</t>
  </si>
  <si>
    <t>Entscheid über das weitere Vorgehen:</t>
  </si>
  <si>
    <t>Kommentar des Inhabers der Anwendung:</t>
  </si>
  <si>
    <t>Hinweis: Der Schutz des Arbeitsblatts kann ohne Passwort deaktiviert werden. Er wurde aktiviert, um unerwünschte Änderungen des Blatts zu verhindern.</t>
  </si>
  <si>
    <t xml:space="preserve">Der Begriff "RAG" bezieht sich auf eine Technik namens "Retrieval Augmented Generation" und gilt nicht als "Training" eines KI-Modells. Vielmehr wird das KI-System in einem ersten Schritt gebeten, die Anfrage des Benutzers zu analysieren, dann die zusätzlichen Informationen, die es für die Antwort benötigt, in Form einer Suchanfrage selbst zu formulieren und die Suche in einer Datenbank, im Internet etc. durchzuführen. Die Ergebnisse der Suche werden dann dem KI-System zugeführt, um auf die ursprüngliche Anfrage zu antworten. Mit anderen Worten wird die ursprüngliche Anweisung wird mit zusätzlichem Wissen aufgrund einer Suchabfrage "erweitert", um die Anfrage besser beantworten zu können. </t>
  </si>
  <si>
    <t>The term "RAG" refers to a technique called "Retrieval Augmented Generation" and does not qualify as "training" an AI model. Rather, the AI system is in a first step asked to analyze the request, then formulate the additional information it needs in the form of a search request and then performs the search. The results of the search will then be fed to the AI system for responding to the initial request. In other words, the original instruction is "augmented" with additional knowledge to use for answering it.</t>
  </si>
  <si>
    <t>Der Begriff "unsichere" Länder bezieht sich auf Länder, die nicht als Länder mit einem angemessenen Niveau eines gesetzllich geregelten Datenschutzes gelten (aus der Perspektive des EWR, der Schweiz und des Vereinigten Königreichs; für den EWR umfasst die Liste der "sicheren" Länder alle EWR-Mitgliedstaaten und die Länder mit einem "Angemessenheitsbeschluss", die hier aufgeführt sind: https://vischerlnk.com/3StIhBp; für die Schweiz befindet sich die Liste in "Anhang 1" der Datenschutzverordnung: https://vischerlnk.com/3SHGJFe).</t>
  </si>
  <si>
    <r>
      <rPr>
        <b/>
        <sz val="9"/>
        <color theme="1"/>
        <rFont val="Calibri"/>
        <family val="2"/>
        <scheme val="minor"/>
      </rPr>
      <t>Anleitung:</t>
    </r>
    <r>
      <rPr>
        <sz val="9"/>
        <color theme="1"/>
        <rFont val="Calibri"/>
        <family val="2"/>
        <scheme val="minor"/>
      </rPr>
      <t xml:space="preserve"> Eine Datenschutz-Folgenabschätzung oder DSFA ist gemäss DSGVO und dem Schweizer Datenschutzgesetz (DSG) erforderlich, wenn die Verarbeitung personenbezogener Daten wahrscheinlich ein hohes Risiko unerwünschter negativer Konsequenzen für die Personen birgt, über die personenbezogene Daten verarbeitet werden. Das "hohe Risiko" wird unabhängig von etwaigen Massnahmen zu deren Reduzierung ermittelt. Selbst wenn es Ihnen gelingt, alle Risiken zu kontrollieren, müssen Sie eine DPIA durchführen, wenn das Risiko der KI-Lösung, die Sie implementieren möchten, an sich hoch ist. Im ersten Teil dieses Abschnitts wird darum festgestellt, ob ein solches inhärent hohes Risiko besteht. Wenn ja, müssen Sie den zweiten Teil dieses Abschnitts absolvieren. Der Zweck besteht darin, die Risiken Ihrer KI-Lösung für die betroffenen Personen zu identifizieren und zu prüfen, ob zusätzliche Massnahmen erforderlich sind, um diese Risiken zu zu beschränken bzw. zu kontrollieren. Sofern Sie keine hohen verbleibenden Risiken feststellen, können Sie fortfahren. Wenn Sie trotz der Gegenmassnahmen hohe Risiken haben, müssen Sie dies mit Ihrer 2. Linie besprechen, da Verarbeitungstätigkeiten mit einem hohen verbleibenden Risiko in der Regel der Datenschutzbehörde vorgelegt werden müssen (nach der DSGVO und dem Schweizer DSG). Falls Sie eine DSFA mit einem anderen Tool durchführen wollen, können Sie dies natürlich. Die untenstehende DSFA ist für einfachere Fälle gedacht.</t>
    </r>
  </si>
  <si>
    <r>
      <t>Beinhaltet die Anwendung andere Daten, die vertraulich oder sonst rechtlich geschützt sind?</t>
    </r>
    <r>
      <rPr>
        <vertAlign val="superscript"/>
        <sz val="11"/>
        <color theme="1"/>
        <rFont val="Calibri"/>
        <family val="2"/>
        <scheme val="minor"/>
      </rPr>
      <t>3)</t>
    </r>
  </si>
  <si>
    <t>Der Begriff "vertrauliche Daten" bezieht sich entweder auf eigene Geschäftsgeheimnisse oder auf Geschäftsgeheimnisse eines Dritten, die im Rahmen einer Vertraulichkeitsvereinbarung oder einer anderen Vertraulichkeitszusage erhalten wurden. Der Begriff "rechtlich geschützte" Daten bezieht sich auf Inhalte, die geistiges Eigentum eines Dritten sind und uns unter bestimmten Bedingungen lizenziert bzw. zugänglich gemacht wurden. Wir müssen sicherstellen, dass wir diese Bedingungen einhalten, insbesondere wenn wir solche Daten als Input für ein KI-System verwenden.</t>
  </si>
  <si>
    <t>Wenn Sie die Antwort darauf nicht kennen, müssen Sie Ihre Funktion der 2. Linie, die sich damit befassen, fragen, zum Beispiel Ihre Rechtsabteilung oder die Datenschutzstelle. Sie müssen möglicherweise diese Verträge usw. für Sie überprüfen und Ihnen die Antwort, die Sie hier einfügen können, mitteilen.</t>
  </si>
  <si>
    <t>Dies bezieht sich einerseits auf vertragliche Massnahmen, wie den Abschluss der EU-Standardvertragsklauseln (EU SCC) mit der Partei im Ausland (z.B. dem Provider), und andererseits darauf, dass wir prüfen, ob ein relevantes Risiko besteht, dass unsere Daten einem problematischen Zugriff durch ausländische Behörden im Land des Empfängers unterliegen könnten. Für "sichere" Länder (siehe Fussnote 2) ist dies nicht notwendig. Dies ist typischerweise eine Sache, die Sie mit Ihrer 2. Linie, z.B. dem Datenschutzstelle oder der Rechtsabteilung, klären müssen.</t>
  </si>
  <si>
    <t>Wenn wir einen Anbieter für die Verarbeitung von Daten nutzen möchten, die dem Amts- oder Berufsgeheimnis unterliegen, müssen zusätzliche Vorsichtsmassnahmen getroffen werden. Insbesondere muss der Anbietervertrag spezielle Klauseln enthalten (z.B. eine "Defend-your-data"-Bestimmung und eine angemessene Vertraulichkeitsverpflichtung für den Anbieter, seine Mitarbeiter und über die Laufzeit des Vertrags hinaus). Anbieter stellen oft auf Anfrage spezielle Vertragszusätze für diesen Zweck bereit. Darüber hinaus müssen technische und organisatorische Massnahmen umgesetzt werden, um die Daten sowohl vor Missbrauch als auch vor ausländischem Behördenzugriff zu schützen. Es kann auch notwendig sein, eine Risikobewertung für ausländischen Behördenzugriff (FLARA) durchzuführen. Sie werden hierzu Ihre 2. Linie fragen müssen, es sei denn, Sie wissen bereits Bescheid, wie das geht.</t>
  </si>
  <si>
    <t>Das "Verzeichnis von Verarbeitungstätigkeiten" (ROPA) ist eine Inventarliste aller Aktivitäten, die die Verarbeitung personenbezogener Daten in der Organisation betreffen. Das Datenschutzrecht schreibt ein solches Verzeichnis für diverse Organisationen vor.</t>
  </si>
  <si>
    <t>Es gibt verschiedene Gründe, warum Organisationen die Nutzung ihrer KI-Lösung protokollieren sollten oder wollen. Erstens kann das Datenschutzgesetz Audit-Trails verlangen, um die unzulässige Verarbeitung personenbezogener Daten zu erkennen und zu verfolgen (z.B. Art. 4 Schweizer Datenschutzverordnung). Zweitens fordert der AI Act, dass Systeme mit hohem Risiko ihre Aktivitäten (einschliesslich Input und Output) protokollieren und dass die Betreiber diese sechs Monate lang aufbewahren. Drittens kann das Protokollieren von Input und Output aus Beweisgründen oder aufgrund von Vorschriften notwendig sein, die verlangen, dass Unternehmen ihre Aktivitäten und die Nutzung bestimmter Werkzeuge dokumentieren (insbesondere für Zwecke der Aufsichtsbehörden).</t>
  </si>
  <si>
    <t>Dies bezieht sich auf den Inhalt, der auch in Fussnote 3) erwähnt wird, welcher entweder Geschäftsgeheimnisse Dritter oder geistiges Eigentum eines Dritten ist. Hier zielt die Frage darauf ab, herauszufinden, ob wir irgendwelche Verpflichtungen gegenüber denen eingegangen sind, die uns ihre Geschäftsgeheimnisse oder ihr geistiges Eigentum unter der Erwartung oder Bedingung anvertraut haben, dass wir sie bzw. es nicht für KI-Lösungen wie vorliegend verwenden werden. Dies gesagt, werden die meisten Verträge heute noch keine solchen Einschränkungen enthalten.</t>
  </si>
  <si>
    <t>Mit dem Begriff "sensible" personenbezogene Daten meinen wir personenbezogene Daten, über die rassische oder ethnische Herkunft, politische Meinungen, religiöse oder philosophische Überzeugungen oder die Gewerkschaftszugehörigkeit offenbaren, und die Verarbeitung genetischer Daten, biometrischer Daten zum Zweck der eindeutigen Identifizierung einer natürlichen Person, Daten über die Gesundheit oder Daten über das Sexualleben oder die sexuelle Orientierung einer natürlichen Person, andere personenbezogene Daten über die Intimsphäre der Person, personenbezogene Daten im Zusammenhang mit strafrechtlichen Verurteilungen und Straftaten oder damit verbundenen Sicherheitsmassnahmen sowie Daten über Sozialschutzmassnahmen. Diese Kategorien personenbezogener Daten unterliegen besonderen Schutzmassnahmen nach der DSGVO und dem Schweizer Datenschutzgesetz. Der Begriff "Profiling" meint jede automatisierte Verarbeitung personenbezogener Daten, die darin besteht, personenbezogene Daten zu verwenden, um bestimmte persönliche Aspekte in Bezug auf eine natürliche Person zu bewerten, insbesondere um Aspekte hinsichtlich der Arbeitsleistung, wirtschaftlichen Situation, Gesundheit, persönlichen Vorlieben, Interessen, Zuverlässigkeit, Verhalten, Standort oder Bewegungen dieser natürlichen Person zu analysieren oder vorherzusagen.</t>
  </si>
  <si>
    <t>Eine rechtliche Grundlage ist nur nach der DSGVO erforderlich, oder nach Schweizer Recht dann, wenn eine Organisation Daten in ihrer Eigenschaft als Bundes- oder Kantonsbehörde verarbeitet (oder wenn eine Verarbeitungstätigkeit gegen bestimmte Grundsätze des Datenschutzes verstösst). Nach der DSGVO könnte eine rechtliche Grundlage für die Verarbeitung normaler Daten die Notwendigkeit sein, einen Vertrag mit der betroffenen Person zu erfüllen, deren Zustimmung, eine rechtliche Verpflichtung oder ein überwiegendes berechtigtes Interesse.</t>
  </si>
  <si>
    <t>This is no legal advice and is made available "as is" with no warranties. Use it at your own risk and obtain legal counsel where necessary. Please let us know of any errors. This template may be used as per the Creative Commons "Attribution-NoDerivatives 4.0 International" (CC BY-ND 4.0) license (http://creativecommons.org/licenses/by-nd/4.0/). The input fields and their content are not subject to the license. Also, new input lines may be added as needed. This template can be downloaded in the latest version at https://vischerlnk.com/gaira (or https://www.rosenthal.ch/downloads/Rosenthal_GAIRA.xlsx). Please contact us if you require a different license for your project (e.g. if adjustments are to be made).</t>
  </si>
  <si>
    <t>Auf Deutsch können Sie dieses Formular hier herunterladen.</t>
  </si>
  <si>
    <t>Das Formular für eine umfassende Risikobewertung bei Hochrisikoprojekten</t>
  </si>
  <si>
    <t>Das vereinfachte Risikobewertungsformular, welches das Business zu einem guten Stück selbst ausfüllen sollte</t>
  </si>
  <si>
    <t>Ein Überblick über die Anwendungsfälle des EU AI Act und eine Zusammenfassung der Verpflichtungen</t>
  </si>
  <si>
    <t>An overview of the use cases of the EU AI Act an a summary of the obligations</t>
  </si>
  <si>
    <t>Eine Vorlage für "Verzeichnis von KI-Anwendungen"</t>
  </si>
  <si>
    <t>"Betreiber" ist eine natürliche oder juristische Person, Behörde, Einrichtung oder sonstige Stelle, die ein KI-System in eigener Verantwortung verwendet, es sei denn, das KI-System wird im Rahmen einer persönlichen und nicht beruflichen Tätigkeit verwendet;</t>
  </si>
  <si>
    <t>"Anbieter" ist eine natürliche oder juristische Person, Behörde, Einrichtung oder sonstige Stelle, die ein KI-System oder ein KI-Modell mit allgemeinem Verwendungszweck entwickelt oder entwickeln lässt und es unter ihrem eigenen Namen oder ihrer Handelsmarke in Verkehr bringt oder das KI-System unter ihrem eigenen Namen oder ihrer Handelsmarke in Betrieb nimmt, sei es entgeltlich oder unentgeltlich;</t>
  </si>
  <si>
    <t>Betreiber</t>
  </si>
  <si>
    <t>Anbieter müssen unter anderem (i) eine detaillierte technische Dokumentation für die Aufsichtsbehörden und eine weniger detaillierte für die Benutzer bereitstellen, (ii) einen Vertreter in der EU haben, wenn der Anbieter selbst nicht in der EU ansässig ist, aber dem AI Act unterliegt, (iii) Regeln für die Einhaltung des EU-Urheberrechts haben, einschliesslich der Bestimmung zum Opt-out bei Text- und Datamining, und (iv) Informationen über die für das Training verwendeten Inhalte bereitstellen (mit einigen Ausnahmen, die für freie Open-Source-Modelle gelten).</t>
  </si>
  <si>
    <t>Anbieter müssen unter anderem (i) eine detaillierte technische Dokumentation für die Aufsichtsbehörden und eine weniger detaillierte für Benutzer bereitstellen, (ii) einen Vertreter in der EU haben, wenn der Anbieter selbst nicht in der EU ansässig ist, aber dem AI Act unterliegt, (iii) Regeln für die Einhaltung des EU-Urheberrechts haben, einschliesslich der Bestimmung zum Opt-out bei Text- und Datamining, (iv) Informationen über die für das Training verwendeten Inhalte mitteilen, (v) eine Modellbewertung durchführen, (vi) mögliche systemische Risiken bewerten und mindern, (vii) Informationen über schwere Vorfälle und mögliche Massnahmen zu deren Behebung verfolgen, dokumentieren und berichten und (viii) das Modell mit angemessenen Cybersicherheitsmassnahmen schützen.</t>
  </si>
  <si>
    <t>= wahrscheinlich verboten nach dem AI Act</t>
  </si>
  <si>
    <t xml:space="preserve">= wahrscheinlich keine nach dem AI Act verbotene Aktivität </t>
  </si>
  <si>
    <t>= wahrscheinlich ein Hochrisiko-KI-System gemäss AI Act</t>
  </si>
  <si>
    <t>= wahrscheinlich kein Hochrisiko-KI-System gemäss AI Act</t>
  </si>
  <si>
    <t>= Allzweck KI-Modell mit systemischen Risiken</t>
  </si>
  <si>
    <t>= Allzweck KI-Modell</t>
  </si>
  <si>
    <t>Pflicht, eine angemessene KI-Kompetenz im Betrieb zu gewährleisten</t>
  </si>
  <si>
    <t>Definition und Einhaltung von Verhaltenskodizes empfohlen. Auch gewährleisten, dass im Betrieb eine angemesse KI-Kompetenz besteht.</t>
  </si>
  <si>
    <t>Jeder, der ein KI-System oder ein Allzweck KI-Modell verwendet</t>
  </si>
  <si>
    <t>Ein für viele verschiedene Anwendungen einsetzbares generisches KI-Modell</t>
  </si>
  <si>
    <t>Ein Allzweck KI-Modell mit einem "systemischen Risiko", weil es (i) hohe Auswirkungsfähigkeiten hat (einschliesslich Fällen, in denen sein Training 10^25 FLOPS oder mehr umfasste) oder (ii) es zum Allzweck KI-Modell mit systemischen Risiken erklärt wurde</t>
  </si>
  <si>
    <t>Ein KI-System, welches "Deepfakes" erzeugt</t>
  </si>
  <si>
    <t>Anleitung: Der EU AI Act wird, sobald er in Kraft tritt, eine Reihe von KI-Anwendungsfällen regeln, und zwar unabhängig davon, ob sie in der EU stattfinden oder nicht (d.h. der AI Act hat extraterritoriale Wirkung). Der folgende Abschnitt ermöglicht es Ihnen zu bestimmen, ob der AI Act Ihre Anwendung erfasst, ob sie verboten ist oder zu einem Hochrisiko-KI-System führt, und ob Sie dem AI Act unterliegen und in welcher Rolle. Beachten Sie, dass selbst wenn Sie kein Hochrisiko-KI-System umsetzen, einige Vorschriften (hauptsächlich bezüglich Transparenz) trotzdem gelten können.</t>
  </si>
  <si>
    <t>Bringt das Hochrisiko-KI-System trotz allem (i) kein hohes Risiko einer Schädigung mit sich (z.B. eng gefasste Verfahrensaufgabe, Verbesserung einer bereits abgeschlossenen menschlichen Aktivität oder Bewertung einer bereits getroffenen menschlichen Entscheidung) und (ii) wird kein Profiling durchgeführt?</t>
  </si>
  <si>
    <t xml:space="preserve">Werden Sie Ihren eigenen Namen oder Ihr Markenzeichen auf das Hochrisiko-KI-System anbringen, obwohl es bereits in der EU in Verkehr gebracht worden ist? </t>
  </si>
  <si>
    <t>Werden Sie wesentliche Änderungen an dem bereits auf dem EU-Markt befindlichen Hochrisiko-KI-System vornehmen?</t>
  </si>
  <si>
    <t>Ist unsere Anwendung nach dem EU AI Act verbotenen oder Hochrisiko-KI-Systems (siehe Schritt 2)?</t>
  </si>
  <si>
    <t>Biometrische Klassifizierung, um Rückschlüsse auf die Rasse, die politische Meinung, die Gewerkschaftszugehörigkeit, die religiöse oder philosophische Überzeugung, das Sexualleben oder die sexuelle Ausrichtung einer Person zu ziehen (d. h. auf der Grundlage biometrischer Daten)</t>
  </si>
  <si>
    <t>Biometrische Identifizierung aus der Ferne und in Echtzeit in öffentlich zugänglichen Räumen zum Zweck der Strafverfolgung, mit Ausnahme der gezielten Suche nach Opfern, der Vorbeugung spezifischer Bedrohungen im Falle erheblicher und unmittelbar bevorstehender Bedrohungen oder der Lokalisierung oder Identifizierung von Verdächtigen bestimmter definierter Kategorien von Straftaten, vorbehaltlich zusätzlicher Bedingungen (z.B. gerichtliche Genehmigung, Erlaubnis nur für die Suche nach bestimmten Zielpersonen)</t>
  </si>
  <si>
    <t>Erstellung von Profilen oder Bewertung von Persönlichkeitsmerkmalen oder Eigenschaften von Personen, um das Risiko der Begehung von Straftaten einzuschätzen oder vorherzusagen, ausser zur Unterstützung der Risikobewertung von Personen, die an einer Straftat beteiligt sind</t>
  </si>
  <si>
    <t>Aufbau oder Erweiterung einer Gesichtserkennungsdatenbank auf der Grundlage von ungezieltem Scraping im Internet oder CCTV-Aufnahmen</t>
  </si>
  <si>
    <t>Das Ziehen von Rückschlüssen auf Emotionen (einschliesslich Absichten) von Personen am Arbeitsplatz oder in Bildungseinrichtungen, es sei denn, dies geschieht aus medizinischen oder sicherheitstechnischen Gründen</t>
  </si>
  <si>
    <t>Verwendung von unterschwelligen, absichtlich manipulativen oder täuschenden Techniken, die darauf abzielen oder bewirken, dass das Verhalten einer Person wesentlich verzerrt wird oder die Fähigkeit der Person, eine informierte Entscheidung zu treffen, beeinträchtigt wird, soweit dies zu einer Entscheidung von ihr führen kann, die ihr einen erheblichen Schaden verursacht oder verursachen kann</t>
  </si>
  <si>
    <t>Ausnutzen von Schwächen von Personen aufgrund ihres Alters, einer Behinderung oder einer besonderen sozialen oder wirtschaftlichen Situation, um ihr Verhalten in einer Weise zu beeinflussen, die ihnen einen erheblichen Schaden verursacht oder verursachen kann</t>
  </si>
  <si>
    <t>Bewertung oder Klassifizierung von Personen über einen bestimmten Zeitraum hinweg auf der Grundlage ihres Sozialverhaltens (Social Scoring) oder bekannter, abgeleiteter oder vorhergesagter Persönlichkeitsmerkmale, falls diese soziale Bewertung zu einer nachteiligen oder ungünstigen Behandlung führt, die in keinem Zusammenhang mit dem Kontext der Daten steht oder aber ungerechtfertigt oder unverhältnismässig ist</t>
  </si>
  <si>
    <t>Eine weitere in Art. 5 AI Act aufgeführte Tätigkeit</t>
  </si>
  <si>
    <t>Werden Sie mit Ihrer Anwendung eine dieser in Art. 5 AI Act aufgeführten Aktivitäten vornehmen?</t>
  </si>
  <si>
    <t>Werden Sie mit Ihrer Anwendung eine dieser in Art. 6 AI Act aufgeführten Aktivitäten vornehmen?</t>
  </si>
  <si>
    <t>Could your application be qualified as doing at least one of these activities listed in Art. 5 AI Act?</t>
  </si>
  <si>
    <t>Could your application be qualified as doing at least one of these activities listed in Art. 6 AI Act?</t>
  </si>
  <si>
    <t>BiometrischeFernidentifizierung mittels KI, die über die blosse Authentifizierung und biometrische Kategorisierung hinausgeht und sensible oder geschützte Merkmale verwendet oder daraus ableitet</t>
  </si>
  <si>
    <t>Erkennung von Emotionen oder Absichten auf der Grundlage biometrischer Daten mittels KI</t>
  </si>
  <si>
    <t>KI soll als Sicherheitskomponente bei der Verwaltung und dem Betrieb kritischer Infrastrukturen, im Strassenverkehr oder bei der Versorgung mit Wasser, Gas usw. eingesetzt werden</t>
  </si>
  <si>
    <t>Einsatz in der allgemeinen und beruflichen Bildung, sofern (i) der Zugang, die Zulassung oder die Zuweisung zu Bildungsangeboten durch KI bestimmt werden soll, (ii) KI zur Bewertung der Lernergebnisse oder des Bildungsniveaus von Personen eingesetzt werden soll oder (iii) KI zur Überwachung oder Erkennung von verbotenem Verhalten bei Prüfungen eingesetzt werden soll</t>
  </si>
  <si>
    <t>Einsatz im Bereich Beschäftigung und Arbeitnehmer, soweit (i) KI für die Einstellung oder Auswahl von Personen verwendet wird oder (ii) KI verwendet wird, um Entscheidungen zu treffen, die sich auf die Beschäftigungsbedingungen auswirken (z.B. Entscheidungen über Beförderungen oder die Beendigung des Arbeitsverhältnisses), die Leistung zu bewerten oder Arbeit auf der Grundlage von Verhalten oder anderen persönlichen Merkmalen zuzuweisen</t>
  </si>
  <si>
    <t>KI wird verwendet, um (für oder als Behörde) zu beurteilen, ob einer bestimmten Person wesentliche öffentliche Unterstützungsleistungen und Dienste, einschliesslich der Gesundheitsversorgung, zur Verfügung stehen oder weiterhin zur Verfügung stehen werden</t>
  </si>
  <si>
    <t>KI wird zur Bewertung der Kreditwürdigkeit einer Person oder Bestimmung ihres Bonitäts-Scores verwendet werden, ausser zur Aufdeckung von Finanzbetrug</t>
  </si>
  <si>
    <t>KI wird verwendet, um Notrufe von Personen zu bewerten und zu klassifizieren, oder um Notrufe oder Notfalldienste oder die medizinische Versorgung zuzuweisen oder zu triagieren</t>
  </si>
  <si>
    <t>KI wird für Risikobewertungen und die Preisgestaltung von Lebens- oder Krankenversicherungen verwendet</t>
  </si>
  <si>
    <t>Verwendung zu Strafverfolgungszwecken, wenn (i) KI dazu dient, das Risiko einer Straftat oder einer erneuten Straftat einer Person nicht nur auf der Grundlage eines (automatisierten) Profils zu bewerten, (ii) KI dazu dient, Persönlichkeitsmerkmale, Charakteristika oder frühere kriminelle Verhaltensweisen einer Person zu bewerten, oder (iii) KI zur Erstellung von Profilen von Personen im Rahmen der Aufdeckung, Untersuchung oder Verfolgung von Straftaten verwendet werden soll</t>
  </si>
  <si>
    <t>Im Migrations-, Asyl- und Grenzkontrollwesen, soweit (i) KI als Lügendetektor oder ähnliches Werkzeug verwendet werden soll, (ii) KI zur Bewertung des Risikos von Personen, die in die EU einreisen, verwendet werden soll, (iii) KI zur Prüfung von Anträgen auf Asyl, Visa, Aufenthaltsgenehmigungen und damit zusammenhängenden Beschwerden sowie zur Bewertung der damit zusammenhängenden Beweise verwendet werden soll, (iv) KI zum Aufspüren, Erkennen oder Identifizieren von Personen verwendet werden soll, ausser zur Überprüfung von Reisedokumenten</t>
  </si>
  <si>
    <t>KI wird von einer Justizbehörde oder in deren Auftrag oder im Rahmen einer alternativen Streitbeilegung verwendet, um die Justizbehörde bei der Erforschung und Auslegung von Fakten und Gesetzen und deren Anwendung auf einen bestimmten Fall zu unterstützen</t>
  </si>
  <si>
    <t>KI wird zur Beeinflussung des Ergebnisses einer Wahl oder einer Abstimmung eingesetzt, jedoch nicht, wenn Personen dem Ergebnis der KI nicht unmittelbar ausgesetzt sind (z. B. KI-Systeme, die zur Organisation, Optimierung und Strukturierung der Verwaltung oder Logistik politischer Kampagnen eingesetzt werden)</t>
  </si>
  <si>
    <t>Das Hochrisiko-KI-System bringt trotz allem (i) kein hohes Risiko einer Schädigung mit sich (z.B. eng gefasste Verfahrensaufgabe, Verbesserung einer bereits abgeschlossenen menschlichen Aktivität oder Bewertung einer bereits getroffenen menschlichen Entscheidung) und (ii) es wird kein Profiling durchgeführt</t>
  </si>
  <si>
    <t xml:space="preserve">Betreiber sind unter anderem verpflichtet, (i) den Anweisungen des Anbieters zu folgen, (ii) angemessene menschliche Aufsicht zu gewährleisten, (iii) automatisch generierte Protokolle mindestens sechs Monate lang aufzubewahren, (iv) angemessenen Input zu gewährleisten, (v) an der Überwachung des KI-Systems nach seiner Einführung durch den Anbieter teilzunehmen, (vi) schwere Vorfälle und bestimmte Risiken den Behörden und dem Anbieter zu melden, (vii) Mitarbeiter zu informieren, falls das KI-System sie betrifft, (viii) betroffene Personen über Entscheidungen zu informieren, die durch oder mit Hilfe des KI-Systems getroffen wurden, und (ix) Anfragen betroffener Personen bezüglich solcher Entscheidungen zu befolgen. </t>
  </si>
  <si>
    <t>Anbieter sind unter anderem verpflichtet, (i) ein Risiko- und Qualitätsmanagement zu betreiben, (ii) eine Konformitätsbewertung durchzuführen und eine CE-Kennzeichnung mit ihren Kontaktdaten anzubringen, (iii) bestimmte Qualitätsniveaus für Schulungs-, Validierungs- und Testdaten zu gewährleisten, (iv) eine detaillierte technische Dokumentation bereitzustellen, (v) automatisches Protokollieren vorzusehen und Protokolle aufzubewahren, (vi) Anweisungen für Betreiber bereitzustellen, (vii) das System so zu gestalten, dass menschliche Aufsicht möglich ist, es robust, zuverlässig, gegen Sicherheitsbedrohungen (einschliesslich KI-Angriffe) geschützt und fehlertolerant ist, (vii) das KI-System behördlich zu registrieren, (viii) eine Überwachung des Systems nach seiner Markteinführung zu betreiben, (ix) Vorfälle den Behörden zu melden und Korrekturmassnahmen zu ergreifen, (x) mit den Behörden zusammenzuarbeiten, (xi) die Einhaltung der vorstehenden Anforderungen zu dokumentieren und (xii) einen Vertreter in der EU zu haben, falls der Anbieter selbst nicht in der EU ansässig ist, aber dem AI Act unterliegt.</t>
  </si>
  <si>
    <t xml:space="preserve">Betreiber solcher KI-Systeme müssen offenlegen, dass der Text künstlich generiert oder manipuliert wurde, ausser unter anderem für Inhalte, die einem Prozess der menschlichen Überprüfung oder redaktionellen Kontrolle unterzogen wurden und wo jemand die redaktionelle Verantwortung für die Veröffentlichung trägt. </t>
  </si>
  <si>
    <t>Obwohl das KI-System grundsätzlich als Hochrisiko-KI-System gilt, ist der Anwendungsfall nicht hochriskant, weshalb die "de minimis"-Regel des AI Act gilt; der Anbieter muss das System dennoch registrieren und die Feststellung des nicht hohen Risikos dokumentieren.</t>
  </si>
  <si>
    <t>Obwohl das KI-System im Prinzip als Hochrisiko-KI-System gilt, ist der Anwendungsfall nicht hochriskant, weshalb die "de minimis"-Regel des AI Act gilt.</t>
  </si>
  <si>
    <r>
      <rPr>
        <b/>
        <sz val="11"/>
        <color theme="1"/>
        <rFont val="Calibri"/>
        <family val="2"/>
        <scheme val="minor"/>
      </rPr>
      <t xml:space="preserve">Hinweis: </t>
    </r>
    <r>
      <rPr>
        <sz val="11"/>
        <color theme="1"/>
        <rFont val="Calibri"/>
        <family val="2"/>
        <scheme val="minor"/>
      </rPr>
      <t>Der EU AI Act wurde am 13. März 2024 vom Europäischen Parlament angenommen, ist jedoch noch nicht in Kraft. Die folgenden Informationen basieren auf der Version, die zur Abstimmung verwendet wurde (der Link ist unterhalb der folgenden Tabelle aufgeführt). Beachten Sie, dass diese Tabelle auch von anderen Arbeitsblättern verwendet wird, daher sollten Sie sie nicht ändern. Bestimmte Spalten und Zeilen sind ausgeblendet. Wenn Sie herausfinden möchten, ob Sie und Ihre Anwendung dem AI Act unterliegen, gehen Sie zum Arbeitsblatt "AI Act Check".</t>
    </r>
  </si>
  <si>
    <t xml:space="preserve">Deployers are inter alia required to (i) comply with the provider's instructions, (ii) ensure adequate human oversight, (iii) retain automatically generated logs for at least six months, (iv) ensure adequate input, (v) participate in the provider's post-market monitoring of the AI system, (vi) report serious incidents and certain risks to the authorities and provider, (vii) inform employees if the AI system concerns them, (viii) inform affected persons with regard to decisions that were rendered by or with the help of the AI system, and (ix) comply with information requests of affected persons concerning such decisions. </t>
  </si>
  <si>
    <t xml:space="preserve">Deployers shall inform of the operation of the system the persons that are exposed thereto. </t>
  </si>
  <si>
    <t xml:space="preserve">Deployers of such AI systems are required to disclose that the content has been artificially generated or manipulated (with further limitations for content used in artistic, creative, satirical and fictional or analogous work or programmes). </t>
  </si>
  <si>
    <t xml:space="preserve">Deployers of such AI systems are required to disclose that the text has been artificially generated or manipulated, except inter alia for content that has undergone a process of human review or editorial control and where there is someone with editorial responsibility for the publication. </t>
  </si>
  <si>
    <t>Ensure adequate AI literacy within the organisation.</t>
  </si>
  <si>
    <t>Definition and compliance with Codes of Conduct recommended. Also, ensure adequate AI literacy within the organisation.</t>
  </si>
  <si>
    <t>Dies ist keine Rechtsberatung und wird "wie besehen" ohne jegliche Gewährleistung zur Verfügung gestellt. Benutzen Sie es auf eigenes Risiko und ziehen Sie bei Bedarf einen Rechtsbeistand hinzu. Bitte informieren Sie uns über etwaige Fehler. Diese Vorlage darf gemäss der Creative Commons "Attribution-NoDerivatives 4.0 International" (CC BY-ND 4.0) Lizenz (http://creativecommons.org/licenses/by-nd/4.0/) verwendet werden. Die Eingabefelder und deren Inhalt unterliegen nicht der Lizenz. Ausserdem können bei Bedarf neue Eingabelinien hinzugefügt werden. Diese Vorlage kann in der neuesten Version unter https://vischerlnk.com/gaira (oder https://www.rosenthal.ch/downloads/Rosenthal_GAIRA.xlsx) heruntergeladen werden. Melden Sie sich bei uns, falls Sie eine abweichende Lizenz für Ihr Vorhaben benötigen (z.B. wenn Anpassungen vorgenommen werden sollen).</t>
  </si>
  <si>
    <t>Hinweis: Die folgenden Texte sind für vorliegende Zwecke vereinfacht worden.</t>
  </si>
  <si>
    <t>Note: The following texts have been simplified for the present purpose.</t>
  </si>
  <si>
    <t>30.3.2024</t>
  </si>
  <si>
    <t>Datum:</t>
  </si>
  <si>
    <t>01.12.2023</t>
  </si>
  <si>
    <t>ROAIA wird betreut von:</t>
  </si>
  <si>
    <t>KI-System</t>
  </si>
  <si>
    <t>Zweck</t>
  </si>
  <si>
    <t>Publikum</t>
  </si>
  <si>
    <t>KI-Produkt/Anbieter</t>
  </si>
  <si>
    <t>Ein interner KI-basierter Chatbot für alle Benutzer</t>
  </si>
  <si>
    <t>Alle Mitarbeiter</t>
  </si>
  <si>
    <t>Andere (Anbieter)</t>
  </si>
  <si>
    <t>Erledigt</t>
  </si>
  <si>
    <t>20.07.2023</t>
  </si>
  <si>
    <t>12.05.2024</t>
  </si>
  <si>
    <t>Transkribieren, Zusammenfassen und Analysieren von Besprechungen und Kommunikation mit WM-Kunden</t>
  </si>
  <si>
    <t>01.12.2026</t>
  </si>
  <si>
    <t>Hochrisiko (Anbieter)</t>
  </si>
  <si>
    <t>GPAIM (Anbieter)</t>
  </si>
  <si>
    <t>Andere &amp; GPAIM (Anbieter)</t>
  </si>
  <si>
    <t>Verzeichnis der KI-Aktivitäten (ROAIA)</t>
  </si>
  <si>
    <t>Anwendung/Use Case</t>
  </si>
  <si>
    <t>Kundenberater</t>
  </si>
  <si>
    <t>DeltaPI-4 (LLM), Branchenlösung</t>
  </si>
  <si>
    <t>KI-Technologie (inkl. KI-Modell)</t>
  </si>
  <si>
    <t>Compliance</t>
  </si>
  <si>
    <t>DSFA</t>
  </si>
  <si>
    <t>Risiko</t>
  </si>
  <si>
    <t>Im Einsatz seit</t>
  </si>
  <si>
    <t>Nächste Prüfung</t>
  </si>
  <si>
    <t>Dropdown-Auswahl für Spalte "EU AI Act":</t>
  </si>
  <si>
    <t>Hochrisiko (Betreiber)</t>
  </si>
  <si>
    <t>Hochrisiko (Händler)</t>
  </si>
  <si>
    <t>Hochrisiko (Einführer)</t>
  </si>
  <si>
    <t>Andere (Anbieter &amp; Betreiber)</t>
  </si>
  <si>
    <t>Andere (Betreiber)</t>
  </si>
  <si>
    <t>Andere &amp; GPAIM (Anbieter &amp; Betreiber)</t>
  </si>
  <si>
    <t>Tief</t>
  </si>
  <si>
    <t>Mittel</t>
  </si>
  <si>
    <t>Hochrisiko (Anbieter &amp; Betreiber)</t>
  </si>
  <si>
    <t>Inhaber</t>
  </si>
  <si>
    <r>
      <rPr>
        <b/>
        <sz val="11"/>
        <color theme="1"/>
        <rFont val="Calibri"/>
        <family val="2"/>
        <scheme val="minor"/>
      </rPr>
      <t>Hinweis:</t>
    </r>
    <r>
      <rPr>
        <sz val="11"/>
        <color theme="1"/>
        <rFont val="Calibri"/>
        <family val="2"/>
        <scheme val="minor"/>
      </rPr>
      <t xml:space="preserve"> Der oben genannte Inhaber ist dafür verantwortlich, dieses ROAIA bezüglich seiner/ihrer Anwendung auf dem neusten Stand zu halten. Aktualisierungen sollten an den Betreuer des ROAIA gesendet werden. Die Einträge sind mindestens einmal im Jahr zu überprüfen.</t>
    </r>
  </si>
  <si>
    <t>Legende: DSFA = Datenschutz-Folgenabschätzung   GPAIM = Allzweck-KI-Modell</t>
  </si>
  <si>
    <t>Legend: DPIA = Data Protection Impact Assessment GPAIM = General Purpose AI Model</t>
  </si>
  <si>
    <t>High-risk (Provider &amp; Deployer)</t>
  </si>
  <si>
    <t>Dies ist keine Rechtsberatung und wird "wie besehen" ohne jegliche Garantie zur Verfügung gestellt. Die Nutzung erfolgt auf eigene Gefahr, und bei Bedarf sollten Sie sich rechtlich beraten lassen. Bitte informieren Sie uns über etwaige Fehler. Diese Vorlage darf gemäß der Creative Commons "Attribution 4.0 International" (CC BY 4.0) Lizenz verwendet werden (http://creativecommons.org/licenses/by/4.0/). Diese Vorlage kann in der neuesten Version unter https://www.rosenthal.ch/downloads/Rosenthal_GAIRA.xlsx heruntergeladen werden.</t>
  </si>
  <si>
    <t>Obligations under the AI Act</t>
  </si>
  <si>
    <t>5.01</t>
  </si>
  <si>
    <t>Due to a high-risk AI System:</t>
  </si>
  <si>
    <t>Your obligations as a provider:</t>
  </si>
  <si>
    <t>Due to your general purpose AI Model (not including obligations for models with systemic risks):</t>
  </si>
  <si>
    <t>Due to your selections made above:</t>
  </si>
  <si>
    <t>Other obligations:</t>
  </si>
  <si>
    <t>Your obligations as a deployer:</t>
  </si>
  <si>
    <t>5.02</t>
  </si>
  <si>
    <t>5.03</t>
  </si>
  <si>
    <t>5.04</t>
  </si>
  <si>
    <t>5.05</t>
  </si>
  <si>
    <t xml:space="preserve"> </t>
  </si>
  <si>
    <t>Art. 6 para. 3</t>
  </si>
  <si>
    <t>Verpflichtungen unter dem AI Act</t>
  </si>
  <si>
    <t>Ihre Verpflichtungen als Anbieter:</t>
  </si>
  <si>
    <t>Aufgrund Ihrer oben getroffenen Auswahl:</t>
  </si>
  <si>
    <t>Andere Verpflichtungen:</t>
  </si>
  <si>
    <t>Ihre Verpflichtungen als Betreiber:</t>
  </si>
  <si>
    <t>Die zugrunde liegende Cloud-Infrastruktur (d. h. unser Mandant), einschliesslich ihrer Sicherheit</t>
  </si>
  <si>
    <r>
      <rPr>
        <b/>
        <sz val="9"/>
        <color theme="1"/>
        <rFont val="Calibri"/>
        <family val="2"/>
        <scheme val="minor"/>
      </rPr>
      <t>Anleitung:</t>
    </r>
    <r>
      <rPr>
        <sz val="9"/>
        <color theme="1"/>
        <rFont val="Calibri"/>
        <family val="2"/>
        <scheme val="minor"/>
      </rPr>
      <t xml:space="preserve"> Der EU AI Act wird, sobald er in Kraft tritt, eine Reihe von KI-Anwendungsfällen regeln, und zwar unabhängig davon, ob sie in der EU stattfinden oder nicht (d.h. der AI Act hat extraterritoriale Wirkung). Dieses Arbeitsblatt ermöglicht es Ihnen zu bestimmen, ob der AI Act auf Ihre Anwendung zutrifft, ob dieser verboten ist oder als Hochrisiko-KI-System erfasst wird, und ob Sie dem AI Act unterliegen und in welcher Rolle. Beachten Sie, dass selbst wenn Sie kein Hochrisiko-KI-System haben, einige Vorschriften (hauptsächlich bezüglich Transparenz) gelten. Die wichtigsten Pflichten werden am Ende der Seite ausgewiesen.</t>
    </r>
  </si>
  <si>
    <r>
      <rPr>
        <b/>
        <sz val="9"/>
        <color theme="1"/>
        <rFont val="Calibri"/>
        <family val="2"/>
        <scheme val="minor"/>
      </rPr>
      <t xml:space="preserve">Instruction: </t>
    </r>
    <r>
      <rPr>
        <sz val="9"/>
        <color theme="1"/>
        <rFont val="Calibri"/>
        <family val="2"/>
        <scheme val="minor"/>
      </rPr>
      <t>The EU AI Act, once in force, will govern a number of AI use cases, whether they take place in the EU or not (i.e. the AI Act has extra-territorial effect). This worksheet let's you determine whether the AI Act will apply to your use case, whether your use case is prohibited under the AI Act or regulated as a high-risk AI system, and whether you are subject to the AI Act and in which role. Note that even if you do not have a high-risk AI system, some regulations (mainly concerning transparency) apply. The most important obligations are shown at the end of the page.</t>
    </r>
  </si>
  <si>
    <t>Aufgrund des Hochrisiko-KI-Systems:</t>
  </si>
  <si>
    <t>Aufgrund Ihres Allzweck-KI-Modells (nicht genannt sind die Pflichten bei Modellen mit systemischen Risiken):</t>
  </si>
  <si>
    <t>Ein Werkzeug zur Bewertung, ob der EU AI Act und welche Rollen gelten</t>
  </si>
  <si>
    <t>Nur auf Englisch verfügbar</t>
  </si>
  <si>
    <t>Verwendung zu Strafverfolgungszwecken, wenn (i) KI zur Bewertung des Risikos einer Person, Opfer einer Straftat zu werden, verwendet werden soll, (ii) KI als Lügendetektor oder ähnliches Instrument verwendet werden soll oder (iii) KI zur Feststellung der Zuverlässigkeit von Beweismitteln verwendet werden soll (in jedem Fall mit Ausnahme der oben genannten verbotenen Praktiken)</t>
  </si>
  <si>
    <t>Datenschutz-Folgenabschätzung (DSFA):</t>
  </si>
  <si>
    <t>Projektplanung:</t>
  </si>
  <si>
    <t>Siehe separates Arbeitsblatt um diese Punkte zu ermitteln</t>
  </si>
  <si>
    <t>Kategorie von KI-System/Praktik gem. EU AI Act*:</t>
  </si>
  <si>
    <t>Rolle(n) des Unternehmens gem. EU AI Act*:</t>
  </si>
  <si>
    <t>Version 30.3.2024 - with Data Protection Impact Assessment (DPIA) included</t>
  </si>
  <si>
    <r>
      <rPr>
        <b/>
        <sz val="9"/>
        <color theme="1"/>
        <rFont val="Calibri"/>
        <family val="2"/>
        <scheme val="minor"/>
      </rPr>
      <t>Overview:</t>
    </r>
    <r>
      <rPr>
        <sz val="9"/>
        <color theme="1"/>
        <rFont val="Calibri"/>
        <family val="2"/>
        <scheme val="minor"/>
      </rPr>
      <t xml:space="preserve"> GAIRA is intended to allow an organization to make a holistic risk assessment of its generative AI applications. GAIRA Comprehensive is suited for projects that likely have a high risk (see the Worksheet for "GAIRA Light" for an assessment of whether a project likely has a high risk). GAIRA is to be completed under the lead and the responsibility of the "business" or the application owner, whereas IT and information security experts and second line functions such as legal, compliance and the data protection officer should help (comparable to a data protection impact assessment, which is actually included in GAIRA). One typical approach is to have the application owner or project manager prepare the form and then have a workshop with all stakeholders for going through the assessments, discussing and completing them. The ultimate decision is with the "business" or the application owner. In total, there a five steps to do. An instruction is provided for each step below.</t>
    </r>
  </si>
  <si>
    <r>
      <rPr>
        <b/>
        <sz val="9"/>
        <color theme="1"/>
        <rFont val="Calibri"/>
        <family val="2"/>
        <scheme val="minor"/>
      </rPr>
      <t>Überblick:</t>
    </r>
    <r>
      <rPr>
        <sz val="9"/>
        <color theme="1"/>
        <rFont val="Calibri"/>
        <family val="2"/>
        <scheme val="minor"/>
      </rPr>
      <t xml:space="preserve"> GAIRA ermöglicht es einer Organisation, eine ganzheitliche Risikobewertung ihrer Anwendungen mit generativer KI vorzunehmen. "GAIRA Comprehensive" eignet sich am besten bei Projekten, die wahrscheinlich ein hohes Risiko haben (siehe das Arbeitsblatt für "GAIRA Light" zur Bewertung, ob ein Projekt wahrscheinlich ein hohes Risiko hat). Das Arbeitsblatt ist unter der Leitung und Verantwortung des "Geschäftsbereichs" oder des Anwendungseigentümers zu vervollständigen, wobei IT- und Informationssicherheitsexperten sowie der Funktionen der 2. Linie wie Rechtsabteilung, Compliance und die Datenschutzstelle helfen sollten (vergleichbar mit einer Datenschutz-Folgenabschätzung, die in GAIRA übrigens ebenfalls enthalten ist). Ein typische Vorgehensweise besteht darin, dass der Inhaber der Anwendung oder Projektmanager das Formular vorbereitet und dann einen Workshop mit allen Stakeholdern abhält, um die Bewertungen zu durchlaufen, zu diskutieren und zu vervollständigen. Die letztendliche Entscheidung liegt beim Business oder dem Inhaber der Anwendung. Insgesamt gibt es fünf Schritte zu tun. Eine Anleitung wird für jeden Schritt unten bereitgestellt.</t>
    </r>
  </si>
  <si>
    <r>
      <rPr>
        <b/>
        <sz val="9"/>
        <color theme="1"/>
        <rFont val="Calibri"/>
        <family val="2"/>
        <scheme val="minor"/>
      </rPr>
      <t>Anleitung:</t>
    </r>
    <r>
      <rPr>
        <sz val="9"/>
        <color theme="1"/>
        <rFont val="Calibri"/>
        <family val="2"/>
        <scheme val="minor"/>
      </rPr>
      <t xml:space="preserve"> Füllen Sie die untenstehenden Felder mit einer Beschreibung der von Ihnen geplanten Anwendung aus. Geben Sie auch Informationen über die personenbezogenen Daten an, die von der Anwendung verarbeitet werden sollen (natürlich es sei denn, es kommen keine personenbezogenen Daten vor). Die von Ihnen eingegebenen Informationen dienen Informationszwecken. Sie ermöglichen es denjenigen, die die Compliance des Vorhabens überprüfen und die Risiken Ihrer Anwendung bewerten müssen, besser zu verstehen, was Sie tun und warum. Am Ende (in 1.18/1.19) treffen Sie bitte auch die Auswahl, die am besten auf die Anwendung im Hinblick auf den EU AI Act zutrifft, sofern anwendbar (es gibt ein separates Arbeitsblatt, das Ihnen bei der Bestimmung der Antworten helfen wird).</t>
    </r>
  </si>
  <si>
    <r>
      <t xml:space="preserve">Notwendigkeit und Verhältnismässigkeit dokumentieren </t>
    </r>
    <r>
      <rPr>
        <sz val="12"/>
        <color theme="1"/>
        <rFont val="Calibri"/>
        <family val="2"/>
        <scheme val="minor"/>
      </rPr>
      <t>(nur erforderlich für die DSFA)</t>
    </r>
  </si>
  <si>
    <r>
      <rPr>
        <b/>
        <sz val="9"/>
        <color theme="1"/>
        <rFont val="Calibri"/>
        <family val="2"/>
        <scheme val="minor"/>
      </rPr>
      <t>Anleitung:</t>
    </r>
    <r>
      <rPr>
        <sz val="9"/>
        <color theme="1"/>
        <rFont val="Calibri"/>
        <family val="2"/>
        <scheme val="minor"/>
      </rPr>
      <t xml:space="preserve"> Dieser Schritt 2 ist nur erforderlich, falls Sie sich entschieden haben, dieses Formular auch für eine Datenschutz-Folgenabschätzung (DSFA) bezüglich Ihres Vorhabens zu verwenden. Wenn dies der Fall ist, müssen Sie jeweils 2-3 Sätze als Antwort auf die folgenden zwei Fragen geben. Die beiden Fragen sind ähnlich. Die erste Frage fokussiert darauf, warum Sie die Anwendung (und die Nutzung von KI) anstreben, anstatt eine Lösung zu wählen, die weniger weitreichend personenbezogene Daten bearbeitet. Die zweite Frage fokussiert darauf, ob Sie wirklich nur Daten sammeln und verwenden, die für den Zweck notwendig sind, und die Verarbeitung ihrerseits auf das Nötige und Relevante beschränken.</t>
    </r>
  </si>
  <si>
    <t>Warum die Datenverarbeitung nötig ist bzw. es aus Sicht der betroffenen Personen keine weniger eingreifende Vorgehensweise gibt:</t>
  </si>
  <si>
    <t>Warum die Datenverarbeitung sich an die Datenminimierung hält, zeitlich auf das Notwendige beschränkt ist und auch sonst verhältnismässig ist:</t>
  </si>
  <si>
    <r>
      <t xml:space="preserve">Technische und organisatorische Massnahmen </t>
    </r>
    <r>
      <rPr>
        <sz val="12"/>
        <color theme="1"/>
        <rFont val="Calibri"/>
        <family val="2"/>
        <scheme val="minor"/>
      </rPr>
      <t>(zur Mitigierung von negativen Folgen für das Unternehmen wie auch betroffene Personen)</t>
    </r>
  </si>
  <si>
    <t>Vorgeschlagen</t>
  </si>
  <si>
    <t>Geplant</t>
  </si>
  <si>
    <t>Nicht geplant</t>
  </si>
  <si>
    <t>Unklar</t>
  </si>
  <si>
    <t>Why the processing is necessary and could not be done in a manner less intrustive and far-reaching for the persons affected:</t>
  </si>
  <si>
    <t>Warum die Verarbeitung nötig ist und nicht auf eine (aus Sicht der betroffenen Personen) weniger eingreifende und weitreichende Weise durchgeführt werden kann:</t>
  </si>
  <si>
    <r>
      <rPr>
        <b/>
        <sz val="9"/>
        <color theme="1"/>
        <rFont val="Calibri"/>
        <family val="2"/>
        <scheme val="minor"/>
      </rPr>
      <t>Anleitung:</t>
    </r>
    <r>
      <rPr>
        <sz val="9"/>
        <color theme="1"/>
        <rFont val="Calibri"/>
        <family val="2"/>
        <scheme val="minor"/>
      </rPr>
      <t xml:space="preserve"> In diesem Schritt 3 geht es darum, eine Liste aller technischen und organisatorischen Massnahmen zu erstellen, die dazu beitragen werden, die Sicherheit, Genauigkeit, Fairness und anderen relevanten Aspekte der Einhaltung der gesetzlichen und übergesetzlichen Vorgaben zu gewährleisten und - das ist das ultimative Ziel - Schäden für das Unternehmen und die von Ihrer Anwendung betroffenen Personen zu verhindern oder zu mindern. Diese Massnahmen können Dinge wie Verträge mit Anbietern, Weisungen, Einwilligungen der betroffenen Personen, Qualitätskontrollmassnahmen, Nutzungsbeschränkungen, Überwachung, Schulungen, Datenschutzhinweise usw. umfassen. Wählen Sie für jede Massnahme den entsprechenden Status aus und geben Sie zusätzliche Informationen an, um zu verstehen, wie die Massnahme umgesetzt wird oder umgesetzt werden soll, von wem und wann. Dies wird dem Leser ermöglichen zu verstehen, was nur beabsichtigt oder geplant und was bereits umgesetzt ist. Geben Sie auch Massnahmen an, die Sie in Betracht gezogen, aber bei denen Sie entschieden haben, sie nicht umzusetzen und warum. Machen Sie sich keine Sorgen, wenn Sie nicht viele Ideen haben, welche Massnahmen Sie umsetzen könnten. Wenn Sie die Risikobewertung in Schritt 4 durchführen, werden Ihnen höchstwahrscheinlich weitere Massnahmen einfallen. Wenn das geschieht, tragen Sie diese bitte auch in die untenstehende Tabelle ein.</t>
    </r>
  </si>
  <si>
    <t>Beschreibung, Zweck</t>
  </si>
  <si>
    <t>Wer?</t>
  </si>
  <si>
    <t>Thema</t>
  </si>
  <si>
    <t>Massnahme</t>
  </si>
  <si>
    <t>Umsetzung, Bemerkungen</t>
  </si>
  <si>
    <t>Bis wann?</t>
  </si>
  <si>
    <t>Umgesetzt</t>
  </si>
  <si>
    <t>In Arbeit</t>
  </si>
  <si>
    <t>Hinweis: Sie müssen die obige Liste möglicherweise anpassen und ergänzen, wenn Sie im Rahmen Ihrer Compliance- und Risikobewertung unten zu dem Schluss kommen, dass zusätzliche Massnahmen erforderlich sind. Das ist normal.</t>
  </si>
  <si>
    <t>Note: You may have to amend and extend the above list if you conclude during your compliance and risk assessment below that additional measures are necessary. This is normal.</t>
  </si>
  <si>
    <t xml:space="preserve">Status: </t>
  </si>
  <si>
    <r>
      <t xml:space="preserve">Risikobewertung </t>
    </r>
    <r>
      <rPr>
        <sz val="12"/>
        <color theme="1"/>
        <rFont val="Calibri"/>
        <family val="2"/>
        <scheme val="minor"/>
      </rPr>
      <t>(sowohl der Risiken für das Unternehmen als auch für die betroffenen Personen)</t>
    </r>
  </si>
  <si>
    <r>
      <rPr>
        <b/>
        <sz val="9"/>
        <color theme="1"/>
        <rFont val="Calibri"/>
        <family val="2"/>
        <scheme val="minor"/>
      </rPr>
      <t>Anleitung:</t>
    </r>
    <r>
      <rPr>
        <sz val="9"/>
        <color theme="1"/>
        <rFont val="Calibri"/>
        <family val="2"/>
        <scheme val="minor"/>
      </rPr>
      <t xml:space="preserve"> Dieser Schritt 4 ist der Kern von GAIRA. Ihre Aufgabe ist es, gemeinsam mit anderen Stakeholdern und Fachleuten (aus IT, Recht, Compliance, Sicherheit, Risk und dem Business) die untenstehende Liste und vorbereitete Risikoszenarien durchzuarbeiten. Für jedes Risikoszenario überlegen Sie, ob es Ihrer Anwendung widerfahren könnte und welche Massnahmen Sie ergriffen haben oder planen zu ergreifen, um dies zu verhindern; listen Sie diese in Spalte D mit Aufzählungszeichen auf. Sie können auch andere Faktoren erwähnen, die helfen werden, das Risikoszenario zu verhindern. In Spalte E müssen Sie dann auswählen, wie wahrscheinlich das Risikoszenario in Ihrem Fall ist, angesichts der Massnahmen und Umstände in Spalte D. Nachdem Sie dies ausgewählt haben, denken Sie über die möglichen Auswirkungen nach, für den Fall, dass das Risikoszenario eintreten sollte. Denken Sie an vernünftigerweise mögliche negative Konsequenzen für die Organisation und listen Sie diese (mit Aufzählungszeichen) in Spalte F auf. Bewerten Sie daraufhin die Risikoexposition der Organisation, für den hypothetischen Fall, dass das Risikoszenario sich verwirklich (was Sie vielleicht für unwahrscheinlich halten). Die Exposition hängt von der Schadenshöhe ab, die das Risikoszenario verursachen könnte, und seiner Wahrscheinlichkeit. Machen Sie diese Bewertung für alle Kategorien negativer Folgen (auch dort, wo sie sich überschneiden), z.B. in Bezug auf den finanziellen Schaden, den das Risikoszenario für die Organisation verursachen könnte, Reputationsprobleme, regulatorische Massnahmen (vorausgesetzt, Sie unterliegen einer regulatorischen Aufsicht - wenn nicht, wählen Sie einfach N/A) und mögliche strafrechtliche Massnahmen, falls zutreffend (wenn keine vernünftigerweise möglich ist, wählen Sie N/A). Nachdem Sie die Risiken für die Organisation bewertet haben, müssen Sie die Risiken für die betroffenen personen bewerten, die durch das Risikoszenario negativ betroffen sein könnten (z.B. die Personen, über die Sie Daten verarbeiten). Bewerten Sie deren Exposition (unter Berücksichtigung jeglichen potenziellen Schadens, auch wenn er nicht physisch oder monetär ist) auf die gleiche Weise wie zuvor für die Organisation. Schliesslich können Sie die letzten Spalten nutzen, um Kommentare zu liefern (wie Annahmen, die Sie bei den Risikobewertungen gemacht haben oder Punkte, die noch geklärt werden müssen), Informationen über den Risikoeigentümer und wie das Risiko gehandhabt wird (z.B. ob es akzeptiert wird, weitere Schritte unternommen werden usw.). Bei dieser Bewertung werden Sie wahrscheinlich zu dem Schluss kommen, dass zusätzliche Massnahmen erforderlich sind, um die Wahrscheinlichkeit des Eintretens des Risikoszenarios zu verringern oder die negativen Konsequenzen zu mildern. Wenn dies der Fall ist, fügen Sie die Massnahmen in die Tabelle von Schritt 2 hinzu und führen Sie die Risikobewertung unter der Annahme durch, dass die Massnahme implementiert wurde. Wenn ein bestimmtes </t>
    </r>
    <r>
      <rPr>
        <b/>
        <sz val="9"/>
        <color theme="1"/>
        <rFont val="Calibri"/>
        <family val="2"/>
        <scheme val="minor"/>
      </rPr>
      <t xml:space="preserve">Risikoszenario nur eine theoretische Wahrscheinlichkeit des Eintretens hat, müssen Sie es nicht bewerten. </t>
    </r>
    <r>
      <rPr>
        <sz val="9"/>
        <color theme="1"/>
        <rFont val="Calibri"/>
        <family val="2"/>
        <scheme val="minor"/>
      </rPr>
      <t>Wählen Sie einfach N/A als Wahrscheinlichkeit des Auftretens in Spalte E und erwägen Sie, eine kurze Erklärung zu geben. Wenn Sie Risikoszenarien hinzufügen möchten, gibt es in jedem Abschnitt leere Zeilen.</t>
    </r>
  </si>
  <si>
    <t>Bewertungszeitraum:</t>
  </si>
  <si>
    <t>Sollen operationelle Risiken beurteilt werden?</t>
  </si>
  <si>
    <t>Bewertung durch:</t>
  </si>
  <si>
    <t xml:space="preserve"> Jahre</t>
  </si>
  <si>
    <t>Ja, sie werden nachfolgend ebenfalls beurteilt</t>
  </si>
  <si>
    <t>Was könnte passieren, wenn wir die Anwendung nutzen (Risikoszenario)</t>
  </si>
  <si>
    <t>Gesamtrisiko</t>
  </si>
  <si>
    <t>Eintritts-Wahrscheinlichkeit des Auftretens</t>
  </si>
  <si>
    <t>Tritt das Szenario ein, was könnte uns warum passieren ? (Folgen)</t>
  </si>
  <si>
    <t>Exposition</t>
  </si>
  <si>
    <r>
      <t>Finanzieller Schaden</t>
    </r>
    <r>
      <rPr>
        <b/>
        <vertAlign val="superscript"/>
        <sz val="11"/>
        <color theme="0"/>
        <rFont val="Calibri"/>
        <family val="2"/>
        <scheme val="minor"/>
      </rPr>
      <t>1)</t>
    </r>
  </si>
  <si>
    <r>
      <t>Rufschädigung</t>
    </r>
    <r>
      <rPr>
        <b/>
        <vertAlign val="superscript"/>
        <sz val="11"/>
        <color theme="0"/>
        <rFont val="Calibri"/>
        <family val="2"/>
        <scheme val="minor"/>
      </rPr>
      <t>2)</t>
    </r>
  </si>
  <si>
    <r>
      <t>Eingriff Regulator</t>
    </r>
    <r>
      <rPr>
        <b/>
        <vertAlign val="superscript"/>
        <sz val="11"/>
        <color theme="0"/>
        <rFont val="Calibri"/>
        <family val="2"/>
        <scheme val="minor"/>
      </rPr>
      <t>3)</t>
    </r>
  </si>
  <si>
    <r>
      <t>Strafbarkeit</t>
    </r>
    <r>
      <rPr>
        <b/>
        <vertAlign val="superscript"/>
        <sz val="11"/>
        <color theme="0"/>
        <rFont val="Calibri"/>
        <family val="2"/>
        <scheme val="minor"/>
      </rPr>
      <t>4)</t>
    </r>
  </si>
  <si>
    <t>Tritt das Szenario ein, was sind die negativen Folgen für Einzelpersonen?</t>
  </si>
  <si>
    <r>
      <t>Schaden für diese</t>
    </r>
    <r>
      <rPr>
        <b/>
        <vertAlign val="superscript"/>
        <sz val="11"/>
        <color theme="0"/>
        <rFont val="Calibri"/>
        <family val="2"/>
        <scheme val="minor"/>
      </rPr>
      <t>5)</t>
    </r>
  </si>
  <si>
    <t>Bemerkungen (z.B. Annahmen, To Dos)</t>
  </si>
  <si>
    <t>Risiko-behandlung</t>
  </si>
  <si>
    <t>Risikoeigner</t>
  </si>
  <si>
    <t>Bewertungsraster für die "Delphi"-Methode</t>
  </si>
  <si>
    <t>Anzahl der Teilnehmer:</t>
  </si>
  <si>
    <t>Erste Runde der Bewertungen</t>
  </si>
  <si>
    <t>Zweite Runde der Bewertungen</t>
  </si>
  <si>
    <t>zu verwenden</t>
  </si>
  <si>
    <t>Schnitt</t>
  </si>
  <si>
    <t>Ethik</t>
  </si>
  <si>
    <t>DS, Ethik</t>
  </si>
  <si>
    <t>DS, Ethik, Allgemein</t>
  </si>
  <si>
    <t>DS, Allgemein</t>
  </si>
  <si>
    <t>Allgemein</t>
  </si>
  <si>
    <t>Allgemein, Qualität</t>
  </si>
  <si>
    <t>Allgemeine Risiken im Zusammenhang mit unserer Nutzung von genKI, trotz der oben genannten Massnahmen</t>
  </si>
  <si>
    <r>
      <rPr>
        <vertAlign val="superscript"/>
        <sz val="9"/>
        <color theme="1"/>
        <rFont val="Calibri"/>
        <family val="2"/>
        <scheme val="minor"/>
      </rPr>
      <t>1</t>
    </r>
    <r>
      <rPr>
        <sz val="9"/>
        <color theme="1"/>
        <rFont val="Calibri"/>
        <family val="2"/>
        <scheme val="minor"/>
      </rPr>
      <t xml:space="preserve"> Levels of financial exposure:</t>
    </r>
  </si>
  <si>
    <t>(nötig bei Verarbeitungstätigkeiten mit hohem Risiko)</t>
  </si>
  <si>
    <t>Ja, in dieser Risikobeurteilung mit enthalten</t>
  </si>
  <si>
    <t>Problematisch:</t>
  </si>
  <si>
    <t>Kommentare von anderen:</t>
  </si>
  <si>
    <t>Noch zu erledigende Schritte:</t>
  </si>
  <si>
    <r>
      <t xml:space="preserve">Findet der EU AI Act auf Ihr Vorhaben Anwendung? </t>
    </r>
    <r>
      <rPr>
        <b/>
        <sz val="18"/>
        <color rgb="FFFF0000"/>
        <rFont val="Calibri"/>
        <family val="2"/>
        <scheme val="minor"/>
      </rPr>
      <t>[Beta Test]</t>
    </r>
  </si>
  <si>
    <t>Version 30.3.2024 - mit integrierter Datenschutz-Folgenabschätzung (DSFA)</t>
  </si>
  <si>
    <r>
      <t xml:space="preserve">Generative AI Risk Assessment (GAIRA) – Comprehensive </t>
    </r>
    <r>
      <rPr>
        <b/>
        <sz val="18"/>
        <color theme="2" tint="-0.499984740745262"/>
        <rFont val="Calibri"/>
        <family val="2"/>
        <scheme val="minor"/>
      </rPr>
      <t>(Deutsch)</t>
    </r>
  </si>
  <si>
    <r>
      <t xml:space="preserve">Generative AI Risk Assessment (GAIRA) – Light </t>
    </r>
    <r>
      <rPr>
        <b/>
        <sz val="18"/>
        <color theme="2" tint="-0.499984740745262"/>
        <rFont val="Calibri"/>
        <family val="2"/>
        <scheme val="minor"/>
      </rPr>
      <t>(Deutsch)</t>
    </r>
  </si>
  <si>
    <t>Massnahmen/Faktoren, die beitragen dies zu verhindern (Risikomitigierung)</t>
  </si>
  <si>
    <t>Unser Einsatz von KI als solcher wird von der Öffentlichkeit in dem von uns geplanten Kontext als unfair oder anderweitig unethisch oder unangemessen wahrgenommen.</t>
  </si>
  <si>
    <t>Unsere Nutzung von KI verstösst gegen Verbraucherschutzrecht oder gilt als unlauterer Wettbewerb.</t>
  </si>
  <si>
    <t>Unser Einsatz von KI verfehlt in erheblichem Masse die Erwartungen an das Kosten-Nutzen-Verhältnis (z.B. Betrieb und Wartung erweisen sich als viel kostspieliger).</t>
  </si>
  <si>
    <t>Die KI-Funktionen, auf die wir gebaut haben, sind nicht mehr in der von uns benötigten Form verfügbar.</t>
  </si>
  <si>
    <t xml:space="preserve">Mangelnde Transparenz in Bezug auf unsere Nutzung von KI als solche hat unabhängig davon, ob sie gesetzlich vorgeschrieben ist oder nicht, negative Folgen für betroffenen Personen (z.B. in Form negativer Gefühle). </t>
  </si>
  <si>
    <t>Unser Einsatz von KI greift ohne ausreichende Rechtfertigung in die Privatsphäre von betroffenen Personen ein oder wird als solcher Eingriff wahrgenommen.</t>
  </si>
  <si>
    <t>Unser Einsatz von KI führt dazu, dass betroffenen Personen unbeabsichtigt Leistungen verweigert werden.</t>
  </si>
  <si>
    <t>Unser Einsatz von KI führt zu einer Diskriminierung (abgesehen von einer etwaigen Leistungsverweigerung).</t>
  </si>
  <si>
    <t>Unsere Nutzung von KI führt zu einem unbeabsichtigten finanziellen oder sonstigen Schaden für betroffene Personen.</t>
  </si>
  <si>
    <t>Unser Einsatz von KI verstösst gegen Kartellrecht.</t>
  </si>
  <si>
    <t xml:space="preserve">Wir müssen viel mehr Geld ausgeben, um die Einhaltung rechtlicher und ethischer Vorgaben bei der Nutzung von KI sicherzustellen, als wir ursprünglich geplant hatten. </t>
  </si>
  <si>
    <t>Unser Einsatz von KI verfehlt in erheblichem Masse die Erwartungen in Sachen Leistung (z.B. zu viele Mängel, mangelnde Leistung, zu komplizierte Handhabung).</t>
  </si>
  <si>
    <t>Unser Einsatz von KI oder unsere damit verbundene Compliance-Anstrengungen erfüllen die geltenden KI-Regulierung nicht (z.B. verbotene Anwendungen, fehlendes Risikomanagement, fehlende Dokumentation).</t>
  </si>
  <si>
    <t>Geheimnisse</t>
  </si>
  <si>
    <t>DS</t>
  </si>
  <si>
    <t>IP, Geheimnisse</t>
  </si>
  <si>
    <t>Qualität</t>
  </si>
  <si>
    <t>Qualität, Ethik</t>
  </si>
  <si>
    <t>Quality, Allgemein, Ethik</t>
  </si>
  <si>
    <t>Wir verwenden personenbezogene Daten für das Training, ohne dazu nach geltendem Datenschutz- und Persönlichkeitsrecht berechtigt zu sein.</t>
  </si>
  <si>
    <t>Wir veranlassen den Anbieter ungewollt, unsere Geheimnisse oder unser geistiges Eigentum in sein Modell aufzunehmen.</t>
  </si>
  <si>
    <t>Wir sind nicht in der Lage, die Qualität des Modells (oder seiner Schulungen) nachzuweisen, obwohl wir dazu verpflichtet sind oder werden.</t>
  </si>
  <si>
    <t>Das ursprüngliche Training des Modells verletzte das Urheberrecht oder andere IP-Rechte von Dritten</t>
  </si>
  <si>
    <t>Das ursprüngliche Training des Modells verletzte Geheimhaltungsrechte Dritter.</t>
  </si>
  <si>
    <t>Das ursprüngliche Training des Modells verletzte Datenschutz- oder Persönlichkeitsrechte Dritter.</t>
  </si>
  <si>
    <t>Unser Training verletzt Urheberrechte oder andere IP-Rechte Dritter.</t>
  </si>
  <si>
    <t>Unser Training verletzt Geheimhaltungsrechte Dritter.</t>
  </si>
  <si>
    <t>Die Art und Weise, wie wir trainieren, verletzt sonst den Datenschutz oder Persönlichkeitsrechte Dritter.</t>
  </si>
  <si>
    <t xml:space="preserve">Der Anbieter missbraucht unsere Inhalte für eigene Trainings (d.h. unberechtigt). </t>
  </si>
  <si>
    <t>Unser Training verstösst anderweitig gegen geltendes Recht (z.B. Verwendung rechtswidriger Inhalte) oder geltende Nutzungsrichtlinien.</t>
  </si>
  <si>
    <t>Unser Training weist nicht die erforderliche Qualität auf (z.B. in Bezug auf die Vermeidung von Bias und Diskriminierung, Fehler und hinreichender thematischer Abdeckung).</t>
  </si>
  <si>
    <t>Die Qualität und andere Merkmale des Modells (oder dess Trainings) entsprechen nicht den von uns geforderten Mindeststandards (gemessen am Gesetz, unserer eigenen Standards und Erwartungen Dritter).</t>
  </si>
  <si>
    <t>Wir sind nicht in der Lage, das Modell ausreichend zu erklären, obwohl wir dazu verpflichtet sind oder sein werden.</t>
  </si>
  <si>
    <t>Das Modell ändert sich im Laufe der Zeit in einer Weise, die uns Probleme bereitet (z.B. weil nicht davon erfahren oder uns nicht danach ausrichten können).</t>
  </si>
  <si>
    <t>Das Modell veraltet und wir kommen damit nicht mehr zurecht.</t>
  </si>
  <si>
    <t>Unser Input enthält andere Inhalte, die wir nicht verwenden wollten (z.B. eigene Geheimnisse oder geistiges Eigentum).</t>
  </si>
  <si>
    <t>Unser Input verletzt Urheberrechte oder andere IP-Rechte Dritter.</t>
  </si>
  <si>
    <t>Wir verwenden personenbezogene Daten als Input, ohne dazu nach geltendem Datenschutz- und Persönlichkeitsrecht berechtigt zu sein (z.B. weil es um sensible Daten geht, Daten Dritter oder die Verwendung zu ungerechtfertigten Zwecken).</t>
  </si>
  <si>
    <t>Unser Input verletzt anderweitig den Datenschutz oder Persönlichkeitsrechte Dritter (z.B. zu viele Daten, fehlerhafte Daten, mangelnde Transparenz, unerwartete oder unfaire Nutzung).</t>
  </si>
  <si>
    <t>Unsere Input verletzt die Geheimhaltungsrechte Dritter.</t>
  </si>
  <si>
    <t>Unser Input verstösst sonst gegen das Gesetz (z.B. Nutzung illegalen Inhalts) oder geltende Nutzungsrichtlinien.</t>
  </si>
  <si>
    <t>Unser Input wird als unethisch wahrgenommen.</t>
  </si>
  <si>
    <t>Risiken im Zusammenhang mit dem Input, die wir an unser genKI-System übermitteln (d.h. die "Prompts"), trotz der oben genannten Massnahmen</t>
  </si>
  <si>
    <t>Risiken im Zusammenhang mit dem von uns verwendeten genKI-Modell und dessen Training durch dessen Ersteller und uns (einschliesslich durch Retrieval Augmented Generation), trotz der oben genannten Massnahmen</t>
  </si>
  <si>
    <t>Unsere Nutzung des Outputs verletzt anderweitig den Datenschutz oder die Persönlichkeitsrechte Dritter (z.B. zu viele persönliche Daten, unerwartete Daten, unfaire Nutzung).</t>
  </si>
  <si>
    <t>DS, Qualität</t>
  </si>
  <si>
    <t>DS, Allgemein, Ethik</t>
  </si>
  <si>
    <t>Risiken im Zusammenhang mit den von unserem genKI-System generierten Ouput (d.h. die "Completions"), wenn sie wie vorgesehen verwendet werden, trotz der oben genannten Massnahmen</t>
  </si>
  <si>
    <t>Der Output ist voreingenommen und wir verwenden ihn, ohne dies zu erkennen.</t>
  </si>
  <si>
    <t>Die Output ist unvollständig und wir verwenden ihn, ohne dies zu erkennen.</t>
  </si>
  <si>
    <t>Der Output ist anderweitig inkorrekt (z.B. aufgrund von Halluzinationen, mangelnder Präzision) und wir verwenden ihn, ohne dies zu erkennen.</t>
  </si>
  <si>
    <t>Der Output ist rufschädigend oder abwertend und wir verwenden ihn, ohne dies zu erkennen.</t>
  </si>
  <si>
    <t>Unsere Nutzung des Outputs verletzt das Urheberrecht oder andere IP-Rechte Dritter (z.B., weil er geschützte Werke Dritter enthält, für die wir keine Lizenz haben).</t>
  </si>
  <si>
    <t>Unsere Nutzung des Outputs verletzt die Geheimhaltungsrechte Dritter (z.B. durch nicht erlaubte Offenlegung von Geheimnissen oder Datenlecks).</t>
  </si>
  <si>
    <t>Der Output enthält personenbezogene Daten und wir verwenden sie, ohne gemäss geltendem Datenschutz- und Persönlichkeitsrecht dazu berechtigt zu sein (z.B. Daten von unbeteiligten Personen, sensible Daten, nicht wie vorgesehen anonymisierte Daten).</t>
  </si>
  <si>
    <t>Wir müssen den Output erklären (z.B., weil wir darauf basierend eine Entscheidung getroffen haben), können dies aber nicht vernünftig tun.</t>
  </si>
  <si>
    <t>Die Ausgabe verstösst sonst gegen das Gesetz (z.B. illegale Inhalte) oder geltende Nutzungsrichtlinien und wir verwenden sie dennoch.</t>
  </si>
  <si>
    <t>Andere Risiken im Zusammenhang mit der Gesamtlösung (nicht nur KI), trotz der oben genannten Massnahmen</t>
  </si>
  <si>
    <t>DS, Geheimnisse</t>
  </si>
  <si>
    <t>Ds</t>
  </si>
  <si>
    <t>Unbefugte Dritte (über unrechtmässige Zugriffe oder über ausländische Behördenzugriffe) erhalten Zugang zu den personenbezogenen Daten und anderen Geheimnissen Dritter, die wir mit der Anwendung verarbeiten (unabhängig von der Nutzung von KI).</t>
  </si>
  <si>
    <t>Die Integrität der personenbezogenen Daten, die wir mit der Anwendung verarbeiten, ist verletzt (unabhängig von unserer Nutzung von KI, z.B. aufgrund von Fehlern bei der Vektorisierung unserer Daten).</t>
  </si>
  <si>
    <t>Es kommt zu einem dauerhaften Verlust von personenbezogenen Daten, die wir mit der Anwendung verarbeiten und benötigen (unabhängig von unserer Nutzung von KI).</t>
  </si>
  <si>
    <t>Wir sammeln auch unnötige oder ungeeignete personenbezogene Daten mit der Anwendung (unabhängig von unserer Nutzung von KI).</t>
  </si>
  <si>
    <t>We collect also unnecessary or unsuitable personal data with the application (unrelated to our use of AI).</t>
  </si>
  <si>
    <t>Wir speichern personenbezogene Daten im Rahmen der Anwendung zu lange (unabhängig von unserer Nutzung von KI).</t>
  </si>
  <si>
    <t>Wir gewähren im Rahmen der Anwendung zu vielen Personen Zugang zu personenbezogenen Daten (unabhängig von unserer Nutzung von KI).</t>
  </si>
  <si>
    <t>Wir erfüllen nicht die Vorgaben an Datenschutzhinweise und andere Transparenzanforderungen (nicht speziell bezogen auf unsere Nutzung von KI).</t>
  </si>
  <si>
    <t>Wir erhalten Auskunftsbegehren, denen wir nicht ordnungsgemäss nachkommen können.</t>
  </si>
  <si>
    <t>Wir erhalten Begehren auf eine Übertragung von Daten, denen wir nicht ordnungsgemäss nachkommen können.</t>
  </si>
  <si>
    <t>Wir erhalten Berichtigungsbegehren, denen wir nicht ordnungsgemäss nachkommen können.</t>
  </si>
  <si>
    <t>Wir erhalten eine Löschbegehren, denen wir nicht ordnungsgemäss nachkommen können.</t>
  </si>
  <si>
    <t>Eine betroffene Person widerspricht unserer Verarbeitung personenbezogener Daten (oder sie widerruft ihre Einwilligung dazu), und wir können damit nicht ordnungsgemäss umgehen.</t>
  </si>
  <si>
    <t>Wir haben personenbezogene Daten oder Geheimnisse Dritter ohne die nötigen Vorkehrung ins Ausland übermittelt oder dies erlaubt  (z.B. keine angemessenen Verträge, fehlende Risikobeurteilung, inakzeptabel hohes Risiko eines Behördenzugriffs).</t>
  </si>
  <si>
    <t>Wir haben uns auf eine Einwilligung verlassen, die sich als ungültig herausstellt (z.B. Mangel an Informationen, Mangel an Freiwilligkeit).</t>
  </si>
  <si>
    <t>Wir haben es versäumt, das nötige menschliche Gehör zu gewähren, wo eine automatisierte Einzelentscheidung bzw. ein Profiling dies erfordert.</t>
  </si>
  <si>
    <t>Wir haben es versäumt, unsere Datenschutzkonformität (Accountability) und die damit verbundenen Risiken für unsere Anwendung ordnungsgemäss zu bewerten und zu dokumentieren.</t>
  </si>
  <si>
    <t>The contracts we have concluded (e.g., with our service providers) prove to be insufficient as per applicable law, including data protection and secrecy law.</t>
  </si>
  <si>
    <t>Die Verträge, die wir abgeschlossen haben (z.B. mit unseren Dienstleistern), erweisen sich nach geltendem Recht, einschliesslich Datenschutz- und Geheimhaltungsrecht, als unzureichend.</t>
  </si>
  <si>
    <t xml:space="preserve">Wir werden verantwortlich gemacht für Aktivitäten unserer Anwendung von anderen gemeinsam mit uns verantwortlichen Stellen. </t>
  </si>
  <si>
    <t>Die Anwendung oder unsere Nutzung verfehlt die Erwartungen, die nicht mit der Nutzung von KI zusammenhängen (z.B. Kostenüberschreitungen, zu viele Mängel, mangelnde Leistung, zu komplizierte Handhabung).</t>
  </si>
  <si>
    <t>Unsere Nutzung der Lösung oder unsere damit verbundene Compliance-Arbeit erfüllt die anwendbare Regulierung ausserhalb des KI-Bereichs nicht (z.B. branchenspezifische Anforderungen).</t>
  </si>
  <si>
    <t>Der Anbieter stellt die Dienste, auf die wir für die Lösung angewiesen sind, ganz oder teilweise ein, und wir können damit nicht umgehen.</t>
  </si>
  <si>
    <r>
      <rPr>
        <b/>
        <sz val="9"/>
        <color theme="1"/>
        <rFont val="Calibri"/>
        <family val="2"/>
        <scheme val="minor"/>
      </rPr>
      <t>Anleitung:</t>
    </r>
    <r>
      <rPr>
        <sz val="9"/>
        <color theme="1"/>
        <rFont val="Calibri"/>
        <family val="2"/>
        <scheme val="minor"/>
      </rPr>
      <t xml:space="preserve"> Die untenstehenden Tabellen enthalten die Werte, die in der oben genannten Risikobewertungstabelle ausgewählt werden können. Sie können den Text ändern (dies wird nicht automatisch die Auswahl ändern, die Sie bereits oben getroffen haben). Die Werte hinter dem Text werden verwendet, um die Risikostufen zu berechnen. Letztendlich ist das maximale Risiko immer 16 (4 x 4). Die farbigen Diagramme unten zeigen den Farbcode, der in der obigen Tabelle verwendet wird. Sie können den Schwellenwert für die Farbänderung in Gelb (= problematisch) ändern. Für die DSFA können Sie definieren, was als mittleres und hohes Risiko angesehen wird (was für die Gesamtbewertung relevant ist).</t>
    </r>
  </si>
  <si>
    <t>Schwellenwerte:</t>
  </si>
  <si>
    <r>
      <rPr>
        <vertAlign val="superscript"/>
        <sz val="9"/>
        <color theme="1"/>
        <rFont val="Calibri"/>
        <family val="2"/>
        <scheme val="minor"/>
      </rPr>
      <t>1)</t>
    </r>
    <r>
      <rPr>
        <sz val="9"/>
        <color theme="1"/>
        <rFont val="Calibri"/>
        <family val="2"/>
        <scheme val="minor"/>
      </rPr>
      <t xml:space="preserve"> Wie exponiert die Organisation finanziell ist:</t>
    </r>
  </si>
  <si>
    <r>
      <rPr>
        <vertAlign val="superscript"/>
        <sz val="9"/>
        <color theme="1"/>
        <rFont val="Calibri"/>
        <family val="2"/>
        <scheme val="minor"/>
      </rPr>
      <t>2)</t>
    </r>
    <r>
      <rPr>
        <sz val="9"/>
        <color theme="1"/>
        <rFont val="Calibri"/>
        <family val="2"/>
        <scheme val="minor"/>
      </rPr>
      <t xml:space="preserve"> Wie exponiert die Organisation reputativ ist:</t>
    </r>
  </si>
  <si>
    <r>
      <rPr>
        <vertAlign val="superscript"/>
        <sz val="9"/>
        <color theme="1"/>
        <rFont val="Calibri"/>
        <family val="2"/>
        <scheme val="minor"/>
      </rPr>
      <t>3)</t>
    </r>
    <r>
      <rPr>
        <sz val="9"/>
        <color theme="1"/>
        <rFont val="Calibri"/>
        <family val="2"/>
        <scheme val="minor"/>
      </rPr>
      <t xml:space="preserve"> Wie exponiert die Organisation regulatorisch ist:</t>
    </r>
  </si>
  <si>
    <r>
      <rPr>
        <vertAlign val="superscript"/>
        <sz val="9"/>
        <color theme="1"/>
        <rFont val="Calibri"/>
        <family val="2"/>
        <scheme val="minor"/>
      </rPr>
      <t>4)</t>
    </r>
    <r>
      <rPr>
        <sz val="9"/>
        <color theme="1"/>
        <rFont val="Calibri"/>
        <family val="2"/>
        <scheme val="minor"/>
      </rPr>
      <t xml:space="preserve"> Wie exponiert die Verantwortlichen strafrechtlich sind:</t>
    </r>
  </si>
  <si>
    <r>
      <rPr>
        <vertAlign val="superscript"/>
        <sz val="9"/>
        <color theme="1"/>
        <rFont val="Calibri"/>
        <family val="2"/>
        <scheme val="minor"/>
      </rPr>
      <t>5)</t>
    </r>
    <r>
      <rPr>
        <sz val="9"/>
        <color theme="1"/>
        <rFont val="Calibri"/>
        <family val="2"/>
        <scheme val="minor"/>
      </rPr>
      <t xml:space="preserve"> Wie exponiert die betroffenen Personen sind:</t>
    </r>
  </si>
  <si>
    <t xml:space="preserve"> (für die DSFA)</t>
  </si>
  <si>
    <t xml:space="preserve">Problematisch ab: </t>
  </si>
  <si>
    <t xml:space="preserve">Mittleres Risiko ab: </t>
  </si>
  <si>
    <t xml:space="preserve">Hohes Risiko ab: </t>
  </si>
  <si>
    <r>
      <rPr>
        <b/>
        <sz val="9"/>
        <color theme="1"/>
        <rFont val="Calibri"/>
        <family val="2"/>
        <scheme val="minor"/>
      </rPr>
      <t xml:space="preserve">Anleitung: </t>
    </r>
    <r>
      <rPr>
        <sz val="9"/>
        <color theme="1"/>
        <rFont val="Calibri"/>
        <family val="2"/>
        <scheme val="minor"/>
      </rPr>
      <t>Sobald Sie bei Schritt 6 angelangt sind, sind Sie fast fertig. Die erste Zeile unten enthält eine Empfehlung basierend auf den oben gemachten Angaben. Lassen Sie die Funktionen der 2. Linie und andere Stakeholder (z.B. andere Geschäftsfunktionen, mit denen Sie Ihre Risikobewertung besprochen haben) das Ergebnis kommentieren und berücksichtigen Sie diese in Ihrem weiteren Vorgehen. Sie müssen dann das Gesamtrisikoniveau Ihrer Anwendung (niedrig, mittel, hoch, sehr hoch) für Ihre Organisation bewerten. Der Wert kann für das Verzeichnis der KI-Aktivitäten (ROAIA) verwendet werden. Sie sollten auch angeben, ob alle ermitelten Risiken akzeptiert wurden. Werden noch weitere Schritte zu unternehmen sind, können Sie diese im entsprechenden Feld beschreiben und weitere Kommentare abgeben. In Zeile 5.05 wird Ihnen angezeigt, ob aufgrund der Verarbeitung ihrer personenbezogenen Daten hohe Risiken für betroffene Personen bestehen. Wenn dies der Fall ist, müssen Sie möglicherweise vor dem Fortfahren die Datenschutzbehörde konsultieren oder Massnahmen ergreifen, um die Risiken weiter zu mindern. Vergessen Sie nicht, den Status und das Datum im ersten Abschnitt des Formulars nachzuführen.</t>
    </r>
  </si>
  <si>
    <r>
      <rPr>
        <b/>
        <sz val="9"/>
        <color theme="1"/>
        <rFont val="Calibri"/>
        <family val="2"/>
        <scheme val="minor"/>
      </rPr>
      <t>Instruction:</t>
    </r>
    <r>
      <rPr>
        <sz val="9"/>
        <color theme="1"/>
        <rFont val="Calibri"/>
        <family val="2"/>
        <scheme val="minor"/>
      </rPr>
      <t xml:space="preserve"> Once you have come to step 5, you are almost done. You can use the below fields to document comments from the various stakeholders and subject matter experts they may have once they have reviewed your risk assessment (unless, of course, they participated in it). You are also asked to assess the overall risk level of your application (low, medium, high, very high) in terms of the risk for the organization. The value can then be used for the Records of AI Activities (ROAIA). You should also indicate whether all risks determined have been accepted. If there are some steps still to be taken, you can describe them in the relevant field and make any other comments. In line 5.05 you will be shown whether there are high risks for individuals due to the processing of their personal data. If there are, you may have to consult the data protection authority before proceeding, or take measures to further mitigate the risks. Don't forget to update the status and date in the top section of the form.</t>
    </r>
  </si>
  <si>
    <t>Kommentare der Datenschutzstelle:</t>
  </si>
  <si>
    <t>Kommentare von Compliance:</t>
  </si>
  <si>
    <t>Kommentare der Rechtsabteilung:</t>
  </si>
  <si>
    <t>Bestehen hohe Risiken für betroffene Personen?</t>
  </si>
  <si>
    <t>Gesamtrisikoeinstufung:</t>
  </si>
  <si>
    <t>Sind alle Restrisiken akzeptabel?</t>
  </si>
  <si>
    <t>Wurden alle Restrisiken akzeptiert?</t>
  </si>
  <si>
    <t>Kommentare des Inhabers der Anwendung:</t>
  </si>
  <si>
    <t>(vom Inhaber der Anwendung zu bewerten; bitte im ROAIA aufnehmen)</t>
  </si>
  <si>
    <t>(automatischer Wert für die DSFA; ist das Restrisiko hoch, muss die Datenschutzbehörde konsultiert werden)</t>
  </si>
  <si>
    <t>Kombiniertes Risiko</t>
  </si>
  <si>
    <t>Datenschutz</t>
  </si>
  <si>
    <t>Added AI Act Check to GAIRA Light and separate worksheet, updated the AI Act and GAIRA Comprehensive worksheet accordingly, added simple DPIA to GAIRA Light, added logging and transparency requirement check to GAIRA Light, updated ROAIA template to cover EU AI Act; translation to German; various small changes, including updating supporting descriptions and chart in GAIRA Comprehensive</t>
  </si>
  <si>
    <t xml:space="preserve">Betreiber müssen die Personen, die dem System ausgesetzt sind, über den Betrieb des Systems informieren. </t>
  </si>
  <si>
    <t>Ein KI-System, das Emotionen und Absichten erkennt oder ableitet oder biometrische Kategorisierung durchführt, ausser jene Systeme, die gesetzlich erlaubt sind, um kriminelle Handlungen zu erkennen, zu verhindern und zu untersuchen</t>
  </si>
  <si>
    <t>Anbieter müssen unter anderem sicherstellen, dass der Output des KI-Systems in einem maschinenlesbaren Format gekennzeichnet und als künstlich generiert oder manipuliert erkennbar sind, und dass die Lösung effektiv, interoperabel, robust und zuverlässig ist (mit Ausnahmen für KI-Systeme, die nur in einer unterstützenden Rolle für gängige Bearbeitungen verwendet werden oder die die Eingabedaten nicht wesentlich verändern).</t>
  </si>
  <si>
    <t xml:space="preserve">Betreiber solcher KI-Systeme sind verpflichtet, offenzulegen, dass der Inhalt künstlich generiert oder manipuliert wurde (mit weiteren Einschränkungen für Inhalte, die in künstlerischen, kreativen, satirischen und fiktionalen oder vergleichbaren Werken oder Programmen verwendet werden). </t>
  </si>
  <si>
    <t xml:space="preserve">An AI system that interacts directly with individuals, except for those systems authorised by law to detect, prevent, investigate and prosecute criminal offences </t>
  </si>
  <si>
    <t>Ein KI-System, das direkt mit natürlichen Personen interagiert, ausser jene Systeme, die gesetzlich autorisiert sind, um Straftaten zu erkennen, zu verhindern, zu untersuchen und zu verfolgen</t>
  </si>
  <si>
    <t>Welche der folgenden Punkte trifft zu:</t>
  </si>
  <si>
    <t>Which of the following applies:</t>
  </si>
  <si>
    <t>Version 3.4.2024</t>
  </si>
  <si>
    <t>3.4.2024</t>
  </si>
  <si>
    <t>Recommendation whether to do a DPIA:</t>
  </si>
  <si>
    <t>Yes, separately</t>
  </si>
  <si>
    <r>
      <rPr>
        <b/>
        <sz val="11"/>
        <color theme="1"/>
        <rFont val="Calibri"/>
        <family val="2"/>
        <scheme val="minor"/>
      </rPr>
      <t>Your decision</t>
    </r>
    <r>
      <rPr>
        <sz val="11"/>
        <color theme="1"/>
        <rFont val="Calibri"/>
        <family val="2"/>
        <scheme val="minor"/>
      </rPr>
      <t xml:space="preserve"> - will you do a DPIA (because you have to or because it in any event makes sense)?</t>
    </r>
  </si>
  <si>
    <r>
      <rPr>
        <b/>
        <sz val="11"/>
        <color theme="1"/>
        <rFont val="Calibri"/>
        <family val="2"/>
        <scheme val="minor"/>
      </rPr>
      <t xml:space="preserve">Ihr Entscheid </t>
    </r>
    <r>
      <rPr>
        <sz val="11"/>
        <color theme="1"/>
        <rFont val="Calibri"/>
        <family val="2"/>
        <scheme val="minor"/>
      </rPr>
      <t>- machen Sie eine DSFA (weil es nötig ist oder weil es auch sonst Sinn macht)?</t>
    </r>
  </si>
  <si>
    <t>Bug Fixes; added selector for DPIA in GAIRA Light</t>
  </si>
  <si>
    <t>https://vischerlnk.com/gaira</t>
  </si>
  <si>
    <t>Author: David Rosenthal, drosenthal@vischer.com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</si>
</sst>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 #,##0_ ;_ * \-#,##0_ ;_ * &quot;-&quot;??_ ;_ @_ "/>
    <numFmt numFmtId="165" formatCode="#,##0\k"/>
    <numFmt numFmtId="166" formatCode="0.0"/>
    <numFmt numFmtId="167" formatCode="yyyy\-mm\-dd;@"/>
  </numFmts>
  <fonts count="47"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i/>
      <sz val="11"/>
      <color theme="1"/>
      <name val="Calibri"/>
      <family val="2"/>
      <scheme val="minor"/>
    </font>
    <font>
      <sz val="10"/>
      <color theme="1"/>
      <name val="Calibri"/>
      <family val="2"/>
      <scheme val="minor"/>
    </font>
    <font>
      <sz val="9"/>
      <color theme="1"/>
      <name val="Calibri"/>
      <family val="2"/>
      <scheme val="minor"/>
    </font>
    <font>
      <sz val="8"/>
      <color theme="0"/>
      <name val="Calibri"/>
      <family val="2"/>
      <scheme val="minor"/>
    </font>
    <font>
      <sz val="9"/>
      <name val="Calibri"/>
      <family val="2"/>
      <scheme val="minor"/>
    </font>
    <font>
      <vertAlign val="superscript"/>
      <sz val="9"/>
      <color theme="1"/>
      <name val="Calibri"/>
      <family val="2"/>
      <scheme val="minor"/>
    </font>
    <font>
      <b/>
      <sz val="11"/>
      <color theme="0"/>
      <name val="Calibri"/>
      <family val="2"/>
      <scheme val="minor"/>
    </font>
    <font>
      <b/>
      <sz val="11"/>
      <color theme="3" tint="-0.249977111117893"/>
      <name val="Calibri"/>
      <family val="2"/>
      <scheme val="minor"/>
    </font>
    <font>
      <b/>
      <vertAlign val="superscript"/>
      <sz val="11"/>
      <color theme="0"/>
      <name val="Calibri"/>
      <family val="2"/>
      <scheme val="minor"/>
    </font>
    <font>
      <sz val="10"/>
      <name val="Calibri"/>
      <family val="2"/>
      <scheme val="minor"/>
    </font>
    <font>
      <sz val="11"/>
      <name val="Calibri"/>
      <family val="2"/>
      <scheme val="minor"/>
    </font>
    <font>
      <sz val="12"/>
      <color theme="1"/>
      <name val="Calibri"/>
      <family val="2"/>
      <scheme val="minor"/>
    </font>
    <font>
      <sz val="8"/>
      <color theme="1"/>
      <name val="Calibri"/>
      <family val="2"/>
      <scheme val="minor"/>
    </font>
    <font>
      <b/>
      <sz val="18"/>
      <color theme="1"/>
      <name val="Calibri"/>
      <family val="2"/>
      <scheme val="minor"/>
    </font>
    <font>
      <sz val="10"/>
      <color theme="0"/>
      <name val="Calibri"/>
      <family val="2"/>
      <scheme val="minor"/>
    </font>
    <font>
      <vertAlign val="superscript"/>
      <sz val="10"/>
      <color theme="1"/>
      <name val="Calibri"/>
      <family val="2"/>
      <scheme val="minor"/>
    </font>
    <font>
      <sz val="10"/>
      <color theme="2" tint="-0.499984740745262"/>
      <name val="Calibri"/>
      <family val="2"/>
      <scheme val="minor"/>
    </font>
    <font>
      <i/>
      <sz val="11"/>
      <color rgb="FFFF0000"/>
      <name val="Calibri"/>
      <family val="2"/>
      <scheme val="minor"/>
    </font>
    <font>
      <sz val="11"/>
      <color theme="2" tint="-9.9978637043366805E-2"/>
      <name val="Calibri"/>
      <family val="2"/>
      <scheme val="minor"/>
    </font>
    <font>
      <vertAlign val="superscript"/>
      <sz val="10"/>
      <color theme="0"/>
      <name val="Calibri"/>
      <family val="2"/>
      <scheme val="minor"/>
    </font>
    <font>
      <sz val="11"/>
      <color theme="0" tint="-0.14999847407452621"/>
      <name val="Calibri"/>
      <family val="2"/>
      <scheme val="minor"/>
    </font>
    <font>
      <sz val="9"/>
      <color theme="2" tint="-0.499984740745262"/>
      <name val="Calibri"/>
      <family val="2"/>
      <scheme val="minor"/>
    </font>
    <font>
      <b/>
      <sz val="14"/>
      <color theme="1"/>
      <name val="Calibri"/>
      <family val="2"/>
      <scheme val="minor"/>
    </font>
    <font>
      <u/>
      <sz val="11"/>
      <color theme="10"/>
      <name val="Calibri"/>
      <family val="2"/>
      <scheme val="minor"/>
    </font>
    <font>
      <b/>
      <sz val="9"/>
      <color theme="1"/>
      <name val="Calibri"/>
      <family val="2"/>
      <scheme val="minor"/>
    </font>
    <font>
      <i/>
      <sz val="9"/>
      <color theme="1"/>
      <name val="Calibri"/>
      <family val="2"/>
      <scheme val="minor"/>
    </font>
    <font>
      <b/>
      <sz val="16"/>
      <color theme="1"/>
      <name val="Calibri"/>
      <family val="2"/>
      <scheme val="minor"/>
    </font>
    <font>
      <b/>
      <u/>
      <sz val="8"/>
      <color theme="1"/>
      <name val="Calibri"/>
      <family val="2"/>
      <scheme val="minor"/>
    </font>
    <font>
      <sz val="11"/>
      <color rgb="FFEFA171"/>
      <name val="Calibri"/>
      <family val="2"/>
      <scheme val="minor"/>
    </font>
    <font>
      <sz val="11"/>
      <color rgb="FF2E5E58"/>
      <name val="Calibri"/>
      <family val="2"/>
      <scheme val="minor"/>
    </font>
    <font>
      <vertAlign val="superscript"/>
      <sz val="11"/>
      <color theme="1"/>
      <name val="Calibri"/>
      <family val="2"/>
      <scheme val="minor"/>
    </font>
    <font>
      <sz val="11"/>
      <color rgb="FFFF0000"/>
      <name val="Calibri"/>
      <family val="2"/>
      <scheme val="minor"/>
    </font>
    <font>
      <sz val="9"/>
      <color indexed="81"/>
      <name val="Segoe UI"/>
      <family val="2"/>
    </font>
    <font>
      <b/>
      <sz val="12"/>
      <color rgb="FFFF0000"/>
      <name val="Calibri"/>
      <family val="2"/>
      <scheme val="minor"/>
    </font>
    <font>
      <u/>
      <sz val="8"/>
      <color theme="10"/>
      <name val="Calibri"/>
      <family val="2"/>
      <scheme val="minor"/>
    </font>
    <font>
      <sz val="8"/>
      <color rgb="FF000000"/>
      <name val="Segoe UI"/>
      <family val="2"/>
    </font>
    <font>
      <sz val="11"/>
      <color theme="2" tint="-0.499984740745262"/>
      <name val="Calibri"/>
      <family val="2"/>
      <scheme val="minor"/>
    </font>
    <font>
      <b/>
      <sz val="18"/>
      <color rgb="FFFF0000"/>
      <name val="Calibri"/>
      <family val="2"/>
      <scheme val="minor"/>
    </font>
    <font>
      <vertAlign val="superscript"/>
      <sz val="11"/>
      <color theme="0" tint="-0.14993743705557422"/>
      <name val="Calibri"/>
      <family val="2"/>
      <scheme val="minor"/>
    </font>
    <font>
      <b/>
      <sz val="11"/>
      <color theme="2" tint="-0.499984740745262"/>
      <name val="Calibri"/>
      <family val="2"/>
      <scheme val="minor"/>
    </font>
    <font>
      <b/>
      <i/>
      <sz val="11"/>
      <color theme="1"/>
      <name val="Calibri"/>
      <family val="2"/>
      <scheme val="minor"/>
    </font>
    <font>
      <b/>
      <sz val="18"/>
      <color theme="2" tint="-0.499984740745262"/>
      <name val="Calibri"/>
      <family val="2"/>
      <scheme val="minor"/>
    </font>
  </fonts>
  <fills count="17">
    <fill>
      <patternFill patternType="none"/>
    </fill>
    <fill>
      <patternFill patternType="gray125"/>
    </fill>
    <fill>
      <patternFill patternType="solid">
        <fgColor theme="3"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C8D0DA"/>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2E5E58"/>
        <bgColor indexed="64"/>
      </patternFill>
    </fill>
    <fill>
      <patternFill patternType="solid">
        <fgColor rgb="FF0070C0"/>
        <bgColor indexed="64"/>
      </patternFill>
    </fill>
    <fill>
      <patternFill patternType="solid">
        <fgColor rgb="FF002060"/>
        <bgColor indexed="64"/>
      </patternFill>
    </fill>
    <fill>
      <patternFill patternType="solid">
        <fgColor rgb="FFDF671A"/>
        <bgColor indexed="64"/>
      </patternFill>
    </fill>
    <fill>
      <patternFill patternType="solid">
        <fgColor rgb="FFF3F3F3"/>
        <bgColor indexed="64"/>
      </patternFill>
    </fill>
  </fills>
  <borders count="15">
    <border>
      <left/>
      <right/>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top style="thin">
        <color theme="0"/>
      </top>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cellStyleXfs>
  <cellXfs count="267">
    <xf numFmtId="0" fontId="0" fillId="0" borderId="0" xfId="0"/>
    <xf numFmtId="0" fontId="2" fillId="0" borderId="0" xfId="0" applyFont="1" applyAlignment="1">
      <alignment horizontal="left" vertical="top"/>
    </xf>
    <xf numFmtId="0" fontId="0" fillId="0" borderId="0" xfId="0" applyAlignment="1">
      <alignment horizontal="left" vertical="top"/>
    </xf>
    <xf numFmtId="49" fontId="4" fillId="0" borderId="0" xfId="0" applyNumberFormat="1" applyFont="1" applyAlignment="1">
      <alignment horizontal="left" vertical="top"/>
    </xf>
    <xf numFmtId="0" fontId="4" fillId="0" borderId="0" xfId="0" applyFont="1" applyAlignment="1">
      <alignment horizontal="left" vertical="top"/>
    </xf>
    <xf numFmtId="0" fontId="5" fillId="0" borderId="0" xfId="0" applyFont="1" applyAlignment="1">
      <alignment horizontal="right" vertical="top"/>
    </xf>
    <xf numFmtId="49" fontId="0" fillId="0" borderId="0" xfId="0" applyNumberFormat="1" applyAlignment="1">
      <alignment horizontal="left" vertical="top"/>
    </xf>
    <xf numFmtId="0" fontId="7" fillId="0" borderId="0" xfId="0" applyFont="1"/>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3" fillId="3" borderId="0" xfId="0" applyFont="1" applyFill="1"/>
    <xf numFmtId="164" fontId="8" fillId="3" borderId="0" xfId="1" applyNumberFormat="1" applyFont="1" applyFill="1" applyAlignment="1">
      <alignment horizontal="center"/>
    </xf>
    <xf numFmtId="2" fontId="0" fillId="0" borderId="0" xfId="0" applyNumberFormat="1" applyAlignment="1">
      <alignment horizontal="left" vertical="top"/>
    </xf>
    <xf numFmtId="9" fontId="7" fillId="0" borderId="0" xfId="2" applyFont="1" applyAlignment="1">
      <alignment horizontal="center" vertical="center"/>
    </xf>
    <xf numFmtId="0" fontId="6" fillId="2" borderId="2" xfId="0" applyFont="1" applyFill="1" applyBorder="1" applyAlignment="1">
      <alignment horizontal="center" vertical="top" wrapText="1"/>
    </xf>
    <xf numFmtId="0" fontId="7" fillId="2" borderId="6" xfId="0" applyFont="1" applyFill="1" applyBorder="1" applyAlignment="1">
      <alignment horizontal="left" vertical="top" wrapText="1"/>
    </xf>
    <xf numFmtId="164" fontId="0" fillId="0" borderId="0" xfId="1" applyNumberFormat="1" applyFont="1" applyAlignment="1">
      <alignment horizontal="center" vertical="top"/>
    </xf>
    <xf numFmtId="165" fontId="2" fillId="0" borderId="0" xfId="0" applyNumberFormat="1" applyFont="1"/>
    <xf numFmtId="164" fontId="7" fillId="2" borderId="8" xfId="1" applyNumberFormat="1" applyFont="1" applyFill="1" applyBorder="1" applyAlignment="1">
      <alignment horizontal="left" vertical="top" wrapText="1"/>
    </xf>
    <xf numFmtId="49" fontId="7" fillId="4" borderId="8" xfId="1" applyNumberFormat="1" applyFont="1" applyFill="1" applyBorder="1" applyAlignment="1">
      <alignment horizontal="center" vertical="top" wrapText="1"/>
    </xf>
    <xf numFmtId="0" fontId="2" fillId="0" borderId="0" xfId="0" applyFont="1"/>
    <xf numFmtId="0" fontId="11" fillId="3" borderId="0" xfId="0" applyFont="1" applyFill="1"/>
    <xf numFmtId="9" fontId="7" fillId="0" borderId="0" xfId="2" applyFont="1" applyFill="1" applyAlignment="1">
      <alignment horizontal="center" vertical="center"/>
    </xf>
    <xf numFmtId="0" fontId="7" fillId="0" borderId="0" xfId="2" applyNumberFormat="1" applyFont="1" applyAlignment="1">
      <alignment horizontal="center" vertical="center"/>
    </xf>
    <xf numFmtId="0" fontId="7" fillId="0" borderId="0" xfId="2" applyNumberFormat="1" applyFont="1" applyAlignment="1">
      <alignment horizontal="right" vertical="center"/>
    </xf>
    <xf numFmtId="0" fontId="6" fillId="2" borderId="0" xfId="0" applyFont="1" applyFill="1" applyAlignment="1">
      <alignment horizontal="left" vertical="top" wrapText="1"/>
    </xf>
    <xf numFmtId="0" fontId="9" fillId="2" borderId="6"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6" xfId="0" applyFont="1" applyFill="1" applyBorder="1" applyAlignment="1">
      <alignment horizontal="left" vertical="top" wrapText="1"/>
    </xf>
    <xf numFmtId="2" fontId="15" fillId="0" borderId="0" xfId="0" applyNumberFormat="1" applyFont="1" applyAlignment="1">
      <alignment horizontal="left" vertical="top"/>
    </xf>
    <xf numFmtId="0" fontId="4" fillId="0" borderId="0" xfId="0" applyFont="1"/>
    <xf numFmtId="0" fontId="6" fillId="0" borderId="0" xfId="0" applyFont="1" applyAlignment="1">
      <alignment horizontal="right"/>
    </xf>
    <xf numFmtId="0" fontId="2" fillId="7" borderId="0" xfId="0" applyFont="1" applyFill="1" applyAlignment="1">
      <alignment horizontal="center" vertical="center"/>
    </xf>
    <xf numFmtId="0" fontId="2" fillId="5" borderId="0" xfId="0" applyFont="1" applyFill="1" applyAlignment="1">
      <alignment horizontal="center" vertical="center"/>
    </xf>
    <xf numFmtId="0" fontId="2" fillId="6" borderId="0" xfId="0" applyFont="1" applyFill="1" applyAlignment="1">
      <alignment horizontal="center" vertical="center"/>
    </xf>
    <xf numFmtId="0" fontId="7" fillId="7" borderId="0" xfId="0" applyFont="1" applyFill="1" applyAlignment="1">
      <alignment horizontal="center" vertical="center"/>
    </xf>
    <xf numFmtId="166" fontId="0" fillId="7" borderId="0" xfId="0" applyNumberFormat="1" applyFill="1" applyAlignment="1">
      <alignment horizontal="center" vertical="center"/>
    </xf>
    <xf numFmtId="1" fontId="0" fillId="5" borderId="0" xfId="0" applyNumberFormat="1" applyFill="1" applyAlignment="1">
      <alignment horizontal="center" vertical="center"/>
    </xf>
    <xf numFmtId="1" fontId="0" fillId="6" borderId="0" xfId="0" applyNumberFormat="1" applyFill="1" applyAlignment="1">
      <alignment horizontal="center" vertical="center"/>
    </xf>
    <xf numFmtId="0" fontId="7" fillId="0" borderId="0" xfId="0" applyFont="1" applyAlignment="1">
      <alignment horizontal="left"/>
    </xf>
    <xf numFmtId="0" fontId="0" fillId="0" borderId="0" xfId="0" applyAlignment="1">
      <alignment horizontal="left" vertical="top" wrapText="1"/>
    </xf>
    <xf numFmtId="0" fontId="0" fillId="0" borderId="5" xfId="0" applyBorder="1" applyAlignment="1">
      <alignment horizontal="left" vertical="top" wrapText="1"/>
    </xf>
    <xf numFmtId="0" fontId="11" fillId="3" borderId="0" xfId="0" applyFont="1" applyFill="1" applyAlignment="1">
      <alignment horizontal="center" vertical="center" wrapText="1"/>
    </xf>
    <xf numFmtId="0" fontId="7" fillId="2" borderId="9" xfId="0" applyFont="1" applyFill="1" applyBorder="1" applyAlignment="1">
      <alignment horizontal="left" vertical="top" wrapText="1"/>
    </xf>
    <xf numFmtId="49" fontId="6" fillId="2" borderId="9" xfId="0" applyNumberFormat="1" applyFont="1" applyFill="1" applyBorder="1" applyAlignment="1">
      <alignment horizontal="left" vertical="top" wrapText="1"/>
    </xf>
    <xf numFmtId="9" fontId="7" fillId="8" borderId="9" xfId="2" applyFont="1" applyFill="1" applyBorder="1" applyAlignment="1">
      <alignment horizontal="center" vertical="center" wrapText="1"/>
    </xf>
    <xf numFmtId="0" fontId="6" fillId="4" borderId="9" xfId="2" applyNumberFormat="1" applyFont="1" applyFill="1" applyBorder="1" applyAlignment="1">
      <alignment horizontal="center" vertical="center"/>
    </xf>
    <xf numFmtId="0" fontId="6" fillId="2" borderId="9" xfId="0" applyFont="1" applyFill="1" applyBorder="1" applyAlignment="1">
      <alignment horizontal="center" vertical="center" wrapText="1"/>
    </xf>
    <xf numFmtId="49" fontId="14" fillId="2" borderId="9" xfId="0" applyNumberFormat="1" applyFont="1" applyFill="1" applyBorder="1" applyAlignment="1">
      <alignment horizontal="left" vertical="top" wrapText="1"/>
    </xf>
    <xf numFmtId="0" fontId="7" fillId="0" borderId="0" xfId="0" applyFont="1" applyAlignment="1">
      <alignment horizontal="left" vertical="top"/>
    </xf>
    <xf numFmtId="0" fontId="6" fillId="4" borderId="9" xfId="2" applyNumberFormat="1" applyFont="1" applyFill="1" applyBorder="1" applyAlignment="1">
      <alignment horizontal="center" vertical="center" wrapText="1"/>
    </xf>
    <xf numFmtId="49" fontId="7" fillId="2" borderId="9" xfId="0" applyNumberFormat="1" applyFont="1" applyFill="1" applyBorder="1" applyAlignment="1">
      <alignment horizontal="left" vertical="top" wrapText="1"/>
    </xf>
    <xf numFmtId="49" fontId="9" fillId="2" borderId="9" xfId="0" applyNumberFormat="1" applyFont="1" applyFill="1" applyBorder="1" applyAlignment="1">
      <alignment horizontal="left" vertical="top" wrapText="1"/>
    </xf>
    <xf numFmtId="0" fontId="17" fillId="4" borderId="9" xfId="2" applyNumberFormat="1" applyFont="1" applyFill="1" applyBorder="1" applyAlignment="1">
      <alignment horizontal="center" vertical="center" wrapText="1"/>
    </xf>
    <xf numFmtId="0" fontId="15" fillId="0" borderId="0" xfId="0" applyFont="1"/>
    <xf numFmtId="0" fontId="7" fillId="0" borderId="0" xfId="0" applyFont="1" applyAlignment="1">
      <alignment vertical="center"/>
    </xf>
    <xf numFmtId="0" fontId="3" fillId="0" borderId="0" xfId="0" applyFont="1"/>
    <xf numFmtId="0" fontId="14" fillId="2" borderId="7" xfId="0" applyFont="1" applyFill="1" applyBorder="1" applyAlignment="1">
      <alignment horizontal="center" vertical="top" wrapText="1"/>
    </xf>
    <xf numFmtId="0" fontId="3" fillId="0" borderId="0" xfId="0" applyFont="1" applyAlignment="1">
      <alignment horizontal="center"/>
    </xf>
    <xf numFmtId="0" fontId="0" fillId="0" borderId="0" xfId="0" applyAlignment="1">
      <alignment horizontal="right"/>
    </xf>
    <xf numFmtId="0" fontId="15" fillId="0" borderId="0" xfId="0" applyFont="1" applyAlignment="1">
      <alignment horizontal="center"/>
    </xf>
    <xf numFmtId="0" fontId="3" fillId="3" borderId="0" xfId="0" applyFont="1" applyFill="1" applyAlignment="1">
      <alignment horizontal="center"/>
    </xf>
    <xf numFmtId="0" fontId="0" fillId="2" borderId="1" xfId="0" applyFill="1" applyBorder="1" applyAlignment="1">
      <alignment vertical="top" wrapText="1"/>
    </xf>
    <xf numFmtId="0" fontId="0" fillId="0" borderId="0" xfId="0" applyAlignment="1">
      <alignment horizontal="left"/>
    </xf>
    <xf numFmtId="49" fontId="21" fillId="2" borderId="9" xfId="0" applyNumberFormat="1" applyFont="1" applyFill="1" applyBorder="1" applyAlignment="1">
      <alignment horizontal="left" vertical="top" wrapText="1"/>
    </xf>
    <xf numFmtId="49" fontId="7" fillId="9" borderId="9" xfId="0" applyNumberFormat="1" applyFont="1" applyFill="1" applyBorder="1" applyAlignment="1">
      <alignment horizontal="left" vertical="top" wrapText="1"/>
    </xf>
    <xf numFmtId="49" fontId="6" fillId="9" borderId="9" xfId="0" applyNumberFormat="1" applyFont="1" applyFill="1" applyBorder="1" applyAlignment="1">
      <alignment horizontal="left" vertical="top" wrapText="1"/>
    </xf>
    <xf numFmtId="0" fontId="7" fillId="9" borderId="6" xfId="0" applyFont="1" applyFill="1" applyBorder="1" applyAlignment="1">
      <alignment horizontal="left" vertical="top" wrapText="1"/>
    </xf>
    <xf numFmtId="0" fontId="6" fillId="9" borderId="6" xfId="0" applyFont="1" applyFill="1" applyBorder="1" applyAlignment="1">
      <alignment horizontal="left" vertical="top" wrapText="1"/>
    </xf>
    <xf numFmtId="49" fontId="9" fillId="9" borderId="9" xfId="0" applyNumberFormat="1" applyFont="1" applyFill="1" applyBorder="1" applyAlignment="1">
      <alignment horizontal="left" vertical="top" wrapText="1"/>
    </xf>
    <xf numFmtId="49" fontId="14" fillId="9" borderId="9" xfId="0" applyNumberFormat="1" applyFont="1" applyFill="1" applyBorder="1" applyAlignment="1">
      <alignment horizontal="left" vertical="top" wrapText="1"/>
    </xf>
    <xf numFmtId="0" fontId="22" fillId="0" borderId="0" xfId="0" applyFont="1" applyAlignment="1">
      <alignment vertical="center"/>
    </xf>
    <xf numFmtId="0" fontId="23" fillId="0" borderId="0" xfId="0" applyFont="1"/>
    <xf numFmtId="0" fontId="19" fillId="3" borderId="0" xfId="0" applyFont="1" applyFill="1" applyAlignment="1">
      <alignment horizontal="center"/>
    </xf>
    <xf numFmtId="0" fontId="19" fillId="3" borderId="0" xfId="0" applyFont="1" applyFill="1"/>
    <xf numFmtId="0" fontId="17" fillId="9" borderId="6" xfId="0" applyFont="1" applyFill="1" applyBorder="1" applyAlignment="1">
      <alignment horizontal="left" vertical="top" wrapText="1"/>
    </xf>
    <xf numFmtId="9" fontId="7" fillId="9" borderId="9" xfId="2" applyFont="1" applyFill="1" applyBorder="1" applyAlignment="1">
      <alignment horizontal="center" vertical="center" wrapText="1"/>
    </xf>
    <xf numFmtId="0" fontId="17" fillId="0" borderId="0" xfId="0" applyFont="1" applyAlignment="1">
      <alignment vertical="top" wrapText="1"/>
    </xf>
    <xf numFmtId="0" fontId="17" fillId="0" borderId="0" xfId="0" applyFont="1" applyAlignment="1">
      <alignment vertical="top"/>
    </xf>
    <xf numFmtId="0" fontId="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xf>
    <xf numFmtId="0" fontId="17" fillId="9" borderId="7"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0" borderId="0" xfId="0" applyFont="1" applyAlignment="1">
      <alignment horizontal="left" vertical="top" wrapText="1"/>
    </xf>
    <xf numFmtId="0" fontId="0" fillId="0" borderId="5" xfId="0" applyBorder="1" applyAlignment="1">
      <alignment vertical="top"/>
    </xf>
    <xf numFmtId="0" fontId="2" fillId="0" borderId="0" xfId="0" applyFont="1" applyAlignment="1">
      <alignment vertical="top"/>
    </xf>
    <xf numFmtId="0" fontId="0" fillId="0" borderId="0" xfId="0" applyAlignment="1">
      <alignment vertical="top"/>
    </xf>
    <xf numFmtId="0" fontId="7" fillId="2" borderId="6" xfId="0" applyFont="1" applyFill="1" applyBorder="1" applyAlignment="1">
      <alignment horizontal="center" vertical="top"/>
    </xf>
    <xf numFmtId="14" fontId="6" fillId="2" borderId="7" xfId="0" applyNumberFormat="1" applyFont="1" applyFill="1" applyBorder="1" applyAlignment="1">
      <alignment horizontal="left" vertical="top" wrapText="1"/>
    </xf>
    <xf numFmtId="0" fontId="0" fillId="2" borderId="0" xfId="0" applyFill="1" applyAlignment="1">
      <alignment horizontal="left" vertical="top"/>
    </xf>
    <xf numFmtId="0" fontId="21" fillId="0" borderId="0" xfId="0" applyFont="1" applyAlignment="1">
      <alignment vertical="top" wrapText="1"/>
    </xf>
    <xf numFmtId="0" fontId="26" fillId="0" borderId="0" xfId="0" applyFont="1" applyAlignment="1">
      <alignment vertical="top" wrapText="1"/>
    </xf>
    <xf numFmtId="0" fontId="6" fillId="0" borderId="0" xfId="0" applyFont="1" applyAlignment="1">
      <alignment horizontal="right" vertical="top"/>
    </xf>
    <xf numFmtId="0" fontId="9" fillId="9" borderId="6" xfId="0" applyFont="1" applyFill="1" applyBorder="1" applyAlignment="1">
      <alignment horizontal="left" vertical="top" wrapText="1"/>
    </xf>
    <xf numFmtId="0" fontId="17" fillId="0" borderId="0" xfId="0" applyFont="1"/>
    <xf numFmtId="0" fontId="28" fillId="0" borderId="0" xfId="3"/>
    <xf numFmtId="0" fontId="0" fillId="9" borderId="9" xfId="0" applyFill="1" applyBorder="1" applyAlignment="1">
      <alignment horizontal="left" vertical="top" wrapText="1"/>
    </xf>
    <xf numFmtId="0" fontId="0" fillId="9" borderId="9" xfId="0" applyFill="1" applyBorder="1" applyAlignment="1">
      <alignment vertical="top" wrapText="1"/>
    </xf>
    <xf numFmtId="0" fontId="3" fillId="11" borderId="0" xfId="0" applyFont="1" applyFill="1"/>
    <xf numFmtId="0" fontId="3" fillId="0" borderId="0" xfId="0" applyFont="1" applyAlignment="1">
      <alignment horizontal="left" vertical="top"/>
    </xf>
    <xf numFmtId="0" fontId="3" fillId="0" borderId="0" xfId="0" applyFont="1" applyAlignment="1">
      <alignment wrapText="1"/>
    </xf>
    <xf numFmtId="0" fontId="17" fillId="0" borderId="0" xfId="0" applyFont="1" applyAlignment="1">
      <alignment horizontal="right" vertical="top" wrapText="1"/>
    </xf>
    <xf numFmtId="0" fontId="6" fillId="10" borderId="2" xfId="0" applyFont="1" applyFill="1" applyBorder="1" applyAlignment="1">
      <alignment horizontal="left" vertical="top" wrapText="1"/>
    </xf>
    <xf numFmtId="0" fontId="3" fillId="0" borderId="0" xfId="0" applyFont="1" applyAlignment="1">
      <alignment textRotation="90"/>
    </xf>
    <xf numFmtId="0" fontId="8" fillId="0" borderId="0" xfId="0" applyFont="1" applyAlignment="1">
      <alignment horizontal="center" vertical="center"/>
    </xf>
    <xf numFmtId="9" fontId="8" fillId="0" borderId="0" xfId="2" applyFont="1"/>
    <xf numFmtId="0" fontId="3" fillId="0" borderId="0" xfId="0" applyFont="1" applyAlignment="1">
      <alignment horizontal="right"/>
    </xf>
    <xf numFmtId="0" fontId="7" fillId="2" borderId="0" xfId="2" applyNumberFormat="1" applyFont="1" applyFill="1" applyAlignment="1">
      <alignment horizontal="center" vertical="center"/>
    </xf>
    <xf numFmtId="0" fontId="7" fillId="0" borderId="0" xfId="0" applyFont="1" applyAlignment="1">
      <alignment vertical="top" wrapText="1"/>
    </xf>
    <xf numFmtId="167" fontId="0" fillId="2" borderId="0" xfId="0" applyNumberFormat="1" applyFill="1" applyAlignment="1">
      <alignment horizontal="left" vertical="top" wrapText="1"/>
    </xf>
    <xf numFmtId="0" fontId="11" fillId="3" borderId="0" xfId="0" applyFont="1" applyFill="1" applyAlignment="1">
      <alignment horizontal="center" vertical="top" wrapText="1"/>
    </xf>
    <xf numFmtId="49" fontId="6" fillId="2" borderId="7" xfId="0" applyNumberFormat="1" applyFont="1" applyFill="1" applyBorder="1" applyAlignment="1">
      <alignment horizontal="left" vertical="top" wrapText="1"/>
    </xf>
    <xf numFmtId="49" fontId="14" fillId="2" borderId="7" xfId="0" applyNumberFormat="1" applyFont="1" applyFill="1" applyBorder="1" applyAlignment="1">
      <alignment horizontal="left" vertical="top" wrapText="1"/>
    </xf>
    <xf numFmtId="0" fontId="7" fillId="2" borderId="7" xfId="0" applyFont="1" applyFill="1" applyBorder="1" applyAlignment="1">
      <alignment horizontal="left" vertical="top" wrapText="1"/>
    </xf>
    <xf numFmtId="167" fontId="6" fillId="2" borderId="7" xfId="0" applyNumberFormat="1" applyFont="1" applyFill="1" applyBorder="1" applyAlignment="1">
      <alignment horizontal="left" vertical="top" wrapText="1"/>
    </xf>
    <xf numFmtId="0" fontId="2" fillId="0" borderId="0" xfId="0" applyFont="1" applyAlignment="1">
      <alignment horizontal="left" vertical="top" wrapText="1"/>
    </xf>
    <xf numFmtId="0" fontId="7" fillId="0" borderId="0" xfId="0" applyFont="1" applyAlignment="1">
      <alignment horizontal="justify" vertical="top" wrapText="1"/>
    </xf>
    <xf numFmtId="0" fontId="0" fillId="0" borderId="0" xfId="0" applyAlignment="1">
      <alignment horizontal="center" vertical="top"/>
    </xf>
    <xf numFmtId="0" fontId="32" fillId="0" borderId="0" xfId="0" applyFont="1" applyAlignment="1">
      <alignment horizontal="center" vertical="top" wrapText="1"/>
    </xf>
    <xf numFmtId="0" fontId="0" fillId="0" borderId="0" xfId="0" applyAlignment="1">
      <alignment horizontal="center" vertical="top" wrapText="1"/>
    </xf>
    <xf numFmtId="0" fontId="28" fillId="0" borderId="0" xfId="3" applyAlignment="1">
      <alignment horizontal="center" vertical="center"/>
    </xf>
    <xf numFmtId="0" fontId="0" fillId="12" borderId="0" xfId="0" applyFill="1"/>
    <xf numFmtId="0" fontId="33" fillId="12" borderId="0" xfId="0" applyFont="1" applyFill="1"/>
    <xf numFmtId="0" fontId="34" fillId="12" borderId="0" xfId="0" applyFont="1" applyFill="1"/>
    <xf numFmtId="0" fontId="35" fillId="0" borderId="0" xfId="0" applyFont="1" applyAlignment="1">
      <alignment horizontal="right" vertical="top"/>
    </xf>
    <xf numFmtId="0" fontId="6" fillId="2" borderId="2"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10" borderId="0" xfId="0" applyFont="1" applyFill="1" applyAlignment="1">
      <alignment horizontal="center" vertical="center" wrapText="1"/>
    </xf>
    <xf numFmtId="0" fontId="0" fillId="0" borderId="0" xfId="0" applyAlignment="1">
      <alignment horizontal="center" vertical="center"/>
    </xf>
    <xf numFmtId="0" fontId="3" fillId="0" borderId="0" xfId="0" applyFont="1" applyAlignment="1">
      <alignment vertical="center"/>
    </xf>
    <xf numFmtId="0" fontId="6" fillId="2" borderId="9" xfId="0" applyFont="1" applyFill="1" applyBorder="1" applyAlignment="1">
      <alignment horizontal="center" vertical="center"/>
    </xf>
    <xf numFmtId="0" fontId="0" fillId="0" borderId="0" xfId="0" applyAlignment="1">
      <alignment wrapText="1"/>
    </xf>
    <xf numFmtId="0" fontId="0" fillId="12" borderId="0" xfId="0" applyFill="1" applyAlignment="1">
      <alignment wrapText="1"/>
    </xf>
    <xf numFmtId="0" fontId="6" fillId="2" borderId="3" xfId="0" applyFont="1" applyFill="1" applyBorder="1" applyAlignment="1">
      <alignment horizontal="left" vertical="top" wrapText="1"/>
    </xf>
    <xf numFmtId="0" fontId="6" fillId="2" borderId="4" xfId="0" applyFont="1" applyFill="1" applyBorder="1" applyAlignment="1">
      <alignment horizontal="left" vertical="top" wrapText="1"/>
    </xf>
    <xf numFmtId="0" fontId="0" fillId="0" borderId="0" xfId="0" applyAlignment="1">
      <alignment vertical="top" wrapText="1"/>
    </xf>
    <xf numFmtId="0" fontId="0" fillId="0" borderId="0" xfId="0" applyAlignment="1">
      <alignment horizontal="right" vertical="top"/>
    </xf>
    <xf numFmtId="0" fontId="36" fillId="0" borderId="0" xfId="0" applyFont="1"/>
    <xf numFmtId="0" fontId="0" fillId="9" borderId="9" xfId="0" applyFill="1" applyBorder="1" applyAlignment="1">
      <alignment horizontal="left" vertical="top"/>
    </xf>
    <xf numFmtId="49" fontId="0" fillId="9" borderId="9" xfId="0" applyNumberFormat="1" applyFill="1" applyBorder="1" applyAlignment="1">
      <alignment vertical="top" wrapText="1"/>
    </xf>
    <xf numFmtId="0" fontId="0" fillId="0" borderId="0" xfId="0" applyAlignment="1">
      <alignment horizontal="center" vertical="center" wrapText="1"/>
    </xf>
    <xf numFmtId="0" fontId="3" fillId="0" borderId="0" xfId="0" applyFont="1" applyAlignment="1">
      <alignment horizontal="left" vertical="center"/>
    </xf>
    <xf numFmtId="0" fontId="6" fillId="2" borderId="9" xfId="0" applyFont="1" applyFill="1" applyBorder="1" applyAlignment="1">
      <alignment horizontal="left" vertical="top"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Alignment="1">
      <alignment horizontal="center" vertical="center" wrapText="1"/>
    </xf>
    <xf numFmtId="49" fontId="2" fillId="0" borderId="0" xfId="0" applyNumberFormat="1" applyFont="1" applyAlignment="1">
      <alignment horizontal="left" vertical="top"/>
    </xf>
    <xf numFmtId="0" fontId="39" fillId="0" borderId="0" xfId="3" applyFont="1"/>
    <xf numFmtId="0" fontId="0" fillId="0" borderId="0" xfId="0" applyAlignment="1">
      <alignment horizontal="left" vertical="center" wrapText="1"/>
    </xf>
    <xf numFmtId="0" fontId="32" fillId="0" borderId="0" xfId="0" applyFont="1" applyAlignment="1">
      <alignment horizontal="left" vertical="top" wrapTex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top" wrapText="1"/>
    </xf>
    <xf numFmtId="0" fontId="7" fillId="4" borderId="9" xfId="0" applyFont="1" applyFill="1" applyBorder="1" applyAlignment="1">
      <alignment horizontal="center" vertical="top" wrapText="1"/>
    </xf>
    <xf numFmtId="0" fontId="15" fillId="0" borderId="0" xfId="0" applyFont="1" applyAlignment="1">
      <alignment horizontal="center" vertical="center"/>
    </xf>
    <xf numFmtId="0" fontId="0" fillId="10" borderId="0" xfId="0" applyFill="1" applyAlignment="1">
      <alignment horizontal="left" vertical="center"/>
    </xf>
    <xf numFmtId="164" fontId="17" fillId="2" borderId="8" xfId="1" applyNumberFormat="1" applyFont="1" applyFill="1" applyBorder="1" applyAlignment="1">
      <alignment horizontal="left" vertical="top" wrapText="1"/>
    </xf>
    <xf numFmtId="49" fontId="17" fillId="4" borderId="8" xfId="1" applyNumberFormat="1" applyFont="1" applyFill="1" applyBorder="1" applyAlignment="1">
      <alignment horizontal="center" vertical="top" wrapText="1"/>
    </xf>
    <xf numFmtId="0" fontId="17" fillId="0" borderId="0" xfId="2" applyNumberFormat="1" applyFont="1" applyAlignment="1">
      <alignment horizontal="right" vertical="center"/>
    </xf>
    <xf numFmtId="0" fontId="2" fillId="0" borderId="0" xfId="0" applyFont="1" applyAlignment="1">
      <alignment horizontal="left" vertical="center" wrapText="1"/>
    </xf>
    <xf numFmtId="0" fontId="7" fillId="0" borderId="0" xfId="0" applyFont="1" applyAlignment="1">
      <alignment horizontal="right"/>
    </xf>
    <xf numFmtId="0" fontId="41" fillId="0" borderId="0" xfId="0" applyFont="1" applyAlignment="1">
      <alignment horizontal="left" vertical="top"/>
    </xf>
    <xf numFmtId="0" fontId="44" fillId="0" borderId="0" xfId="0" applyFont="1" applyAlignment="1">
      <alignment horizontal="left" vertical="top"/>
    </xf>
    <xf numFmtId="0" fontId="0" fillId="2" borderId="4" xfId="0" applyFill="1" applyBorder="1" applyAlignment="1">
      <alignment horizontal="left" vertical="top"/>
    </xf>
    <xf numFmtId="0" fontId="0" fillId="2" borderId="14" xfId="0" applyFill="1" applyBorder="1" applyAlignment="1">
      <alignment horizontal="left" vertical="top"/>
    </xf>
    <xf numFmtId="0" fontId="28" fillId="2" borderId="9" xfId="3" applyFill="1" applyBorder="1" applyAlignment="1">
      <alignment horizontal="left" vertical="top" wrapText="1"/>
    </xf>
    <xf numFmtId="0" fontId="28" fillId="2" borderId="8" xfId="3" applyFill="1" applyBorder="1" applyAlignment="1">
      <alignment horizontal="left" vertical="top" wrapText="1"/>
    </xf>
    <xf numFmtId="0" fontId="0" fillId="12" borderId="2" xfId="0" applyFill="1" applyBorder="1"/>
    <xf numFmtId="0" fontId="0" fillId="13" borderId="2" xfId="0" applyFill="1" applyBorder="1"/>
    <xf numFmtId="0" fontId="0" fillId="14" borderId="2" xfId="0" applyFill="1" applyBorder="1"/>
    <xf numFmtId="0" fontId="0" fillId="15" borderId="2" xfId="0" applyFill="1" applyBorder="1"/>
    <xf numFmtId="0" fontId="0" fillId="16" borderId="11" xfId="0" applyFill="1" applyBorder="1"/>
    <xf numFmtId="0" fontId="11" fillId="12" borderId="6" xfId="0" applyFont="1" applyFill="1" applyBorder="1"/>
    <xf numFmtId="0" fontId="11" fillId="12" borderId="7" xfId="0" applyFont="1" applyFill="1" applyBorder="1"/>
    <xf numFmtId="0" fontId="0" fillId="12" borderId="13" xfId="0" applyFill="1" applyBorder="1"/>
    <xf numFmtId="0" fontId="11" fillId="12" borderId="12" xfId="0" applyFont="1" applyFill="1" applyBorder="1"/>
    <xf numFmtId="49" fontId="0" fillId="0" borderId="0" xfId="0" applyNumberFormat="1" applyAlignment="1">
      <alignment horizontal="left" vertical="top" wrapText="1"/>
    </xf>
    <xf numFmtId="0" fontId="17" fillId="2" borderId="9" xfId="0" applyFont="1" applyFill="1" applyBorder="1" applyAlignment="1">
      <alignment horizontal="center" vertical="top" wrapText="1"/>
    </xf>
    <xf numFmtId="0" fontId="7" fillId="2" borderId="0" xfId="0" applyFont="1" applyFill="1" applyAlignment="1">
      <alignment horizontal="left" vertical="top"/>
    </xf>
    <xf numFmtId="0" fontId="5" fillId="0" borderId="0" xfId="0" applyFont="1" applyAlignment="1">
      <alignment vertical="top"/>
    </xf>
    <xf numFmtId="0" fontId="6" fillId="0" borderId="0" xfId="0" applyFont="1"/>
    <xf numFmtId="0" fontId="45" fillId="0" borderId="0" xfId="0" applyFont="1"/>
    <xf numFmtId="0" fontId="5" fillId="2" borderId="8" xfId="0" applyFont="1" applyFill="1" applyBorder="1" applyAlignment="1">
      <alignment horizontal="left" vertical="top" wrapText="1"/>
    </xf>
    <xf numFmtId="0" fontId="14" fillId="0" borderId="0" xfId="0" applyFont="1" applyAlignment="1">
      <alignment horizontal="center"/>
    </xf>
    <xf numFmtId="0" fontId="41" fillId="0" borderId="0" xfId="0" applyFont="1"/>
    <xf numFmtId="14" fontId="0" fillId="2" borderId="0" xfId="0" applyNumberFormat="1" applyFill="1" applyAlignment="1">
      <alignment horizontal="left" vertical="top" wrapText="1"/>
    </xf>
    <xf numFmtId="0" fontId="18" fillId="0" borderId="0" xfId="0" applyFont="1"/>
    <xf numFmtId="0" fontId="0" fillId="2" borderId="0" xfId="0" applyFill="1" applyAlignment="1">
      <alignment horizontal="left" vertical="center" wrapText="1"/>
    </xf>
    <xf numFmtId="14" fontId="0" fillId="0" borderId="0" xfId="0" applyNumberFormat="1" applyAlignment="1">
      <alignment horizontal="left"/>
    </xf>
    <xf numFmtId="0" fontId="6"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0" fontId="6" fillId="2" borderId="4" xfId="0" applyFont="1" applyFill="1"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18" fillId="0" borderId="0" xfId="0" applyFont="1" applyAlignment="1">
      <alignment horizontal="left"/>
    </xf>
    <xf numFmtId="0" fontId="0" fillId="0" borderId="0" xfId="0" applyAlignment="1">
      <alignment horizontal="left"/>
    </xf>
    <xf numFmtId="49" fontId="7" fillId="0" borderId="0" xfId="0" applyNumberFormat="1" applyFont="1" applyAlignment="1">
      <alignment horizontal="justify" vertical="top" wrapText="1"/>
    </xf>
    <xf numFmtId="0" fontId="2" fillId="2" borderId="1" xfId="0" applyFont="1" applyFill="1" applyBorder="1" applyAlignment="1">
      <alignment horizontal="left" vertical="top" wrapText="1"/>
    </xf>
    <xf numFmtId="0" fontId="2" fillId="2" borderId="0" xfId="0" applyFont="1" applyFill="1" applyAlignment="1">
      <alignment horizontal="left" vertical="top" wrapText="1"/>
    </xf>
    <xf numFmtId="0" fontId="0" fillId="2" borderId="1" xfId="0" applyFill="1" applyBorder="1" applyAlignment="1">
      <alignment horizontal="left" vertical="top" wrapText="1"/>
    </xf>
    <xf numFmtId="0" fontId="0" fillId="2" borderId="0" xfId="0" applyFill="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27" fillId="2" borderId="1" xfId="0" applyFont="1" applyFill="1" applyBorder="1" applyAlignment="1">
      <alignment horizontal="left" vertical="top" wrapText="1"/>
    </xf>
    <xf numFmtId="0" fontId="27" fillId="2" borderId="0" xfId="0" applyFont="1" applyFill="1" applyAlignment="1">
      <alignment horizontal="left" vertical="top" wrapText="1"/>
    </xf>
    <xf numFmtId="0" fontId="7" fillId="0" borderId="0" xfId="0" applyFont="1" applyAlignment="1">
      <alignment horizontal="justify" vertical="top" wrapText="1"/>
    </xf>
    <xf numFmtId="0" fontId="4" fillId="0" borderId="0" xfId="0" applyFont="1" applyAlignment="1">
      <alignment horizontal="left" vertical="top"/>
    </xf>
    <xf numFmtId="0" fontId="0" fillId="0" borderId="5" xfId="0" applyBorder="1" applyAlignment="1">
      <alignment horizontal="left"/>
    </xf>
    <xf numFmtId="0" fontId="2" fillId="0" borderId="0" xfId="0" applyFont="1" applyAlignment="1">
      <alignment horizontal="left" vertical="top" wrapText="1"/>
    </xf>
    <xf numFmtId="0" fontId="14" fillId="2" borderId="2" xfId="0" applyFont="1" applyFill="1" applyBorder="1" applyAlignment="1">
      <alignment horizontal="left" vertical="top" wrapText="1"/>
    </xf>
    <xf numFmtId="0" fontId="14" fillId="2" borderId="3" xfId="0" applyFont="1" applyFill="1" applyBorder="1" applyAlignment="1">
      <alignment horizontal="left" vertical="top" wrapText="1"/>
    </xf>
    <xf numFmtId="0" fontId="14" fillId="2" borderId="4" xfId="0" applyFont="1" applyFill="1" applyBorder="1" applyAlignment="1">
      <alignment horizontal="left" vertical="top" wrapText="1"/>
    </xf>
    <xf numFmtId="0" fontId="2" fillId="0" borderId="5" xfId="0" applyFont="1" applyBorder="1" applyAlignment="1">
      <alignment horizontal="left" vertical="top" wrapText="1"/>
    </xf>
    <xf numFmtId="0" fontId="6" fillId="10" borderId="1" xfId="0" applyFont="1" applyFill="1" applyBorder="1" applyAlignment="1">
      <alignment horizontal="center" vertical="top" wrapText="1"/>
    </xf>
    <xf numFmtId="0" fontId="6" fillId="10" borderId="0" xfId="0" applyFont="1" applyFill="1" applyAlignment="1">
      <alignment horizontal="center" vertical="top" wrapText="1"/>
    </xf>
    <xf numFmtId="0" fontId="7" fillId="2" borderId="2" xfId="0" applyFont="1" applyFill="1" applyBorder="1" applyAlignment="1">
      <alignment horizontal="left" vertical="top" wrapText="1"/>
    </xf>
    <xf numFmtId="0" fontId="7" fillId="2" borderId="4" xfId="0" applyFont="1" applyFill="1" applyBorder="1" applyAlignment="1">
      <alignment horizontal="left"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6" fillId="2" borderId="10" xfId="0" applyFont="1" applyFill="1" applyBorder="1" applyAlignment="1">
      <alignment horizontal="left" vertical="top" wrapText="1"/>
    </xf>
    <xf numFmtId="0" fontId="6" fillId="2" borderId="0" xfId="0" applyFont="1" applyFill="1" applyAlignment="1">
      <alignment horizontal="left" vertical="top" wrapText="1"/>
    </xf>
    <xf numFmtId="0" fontId="26" fillId="0" borderId="0" xfId="0" applyFont="1" applyAlignment="1">
      <alignment horizontal="justify" vertical="top" wrapText="1"/>
    </xf>
    <xf numFmtId="0" fontId="0" fillId="0" borderId="0" xfId="0" applyAlignment="1">
      <alignment horizontal="center" vertical="top" wrapText="1"/>
    </xf>
    <xf numFmtId="0" fontId="0" fillId="0" borderId="0" xfId="0" applyAlignment="1">
      <alignment horizontal="center" vertical="center" wrapText="1"/>
    </xf>
    <xf numFmtId="0" fontId="0" fillId="10" borderId="1" xfId="0" applyFill="1" applyBorder="1" applyAlignment="1">
      <alignment horizontal="center"/>
    </xf>
    <xf numFmtId="0" fontId="0" fillId="10" borderId="0" xfId="0" applyFill="1" applyAlignment="1">
      <alignment horizontal="center"/>
    </xf>
    <xf numFmtId="0" fontId="0" fillId="0" borderId="1" xfId="0" applyBorder="1" applyAlignment="1">
      <alignment horizontal="center" vertical="top" wrapText="1"/>
    </xf>
    <xf numFmtId="0" fontId="7" fillId="0" borderId="0" xfId="0" applyFont="1" applyAlignment="1">
      <alignment horizontal="left" vertical="top" wrapText="1"/>
    </xf>
    <xf numFmtId="0" fontId="0" fillId="10" borderId="0" xfId="0" applyFill="1" applyAlignment="1">
      <alignment horizontal="center" vertical="center" wrapText="1"/>
    </xf>
    <xf numFmtId="0" fontId="32" fillId="0" borderId="0" xfId="0" applyFont="1" applyAlignment="1">
      <alignment horizontal="left" vertical="top" wrapText="1"/>
    </xf>
    <xf numFmtId="0" fontId="32" fillId="0" borderId="13" xfId="0" applyFont="1" applyBorder="1" applyAlignment="1">
      <alignment horizontal="left" vertical="top" wrapText="1"/>
    </xf>
    <xf numFmtId="0" fontId="39" fillId="0" borderId="0" xfId="3" applyFont="1" applyAlignment="1">
      <alignment horizontal="center" vertical="top" wrapText="1"/>
    </xf>
    <xf numFmtId="0" fontId="3" fillId="0" borderId="0" xfId="0" applyFont="1" applyAlignment="1">
      <alignment horizontal="center" textRotation="90"/>
    </xf>
    <xf numFmtId="0" fontId="3" fillId="0" borderId="0" xfId="0" applyFont="1" applyAlignment="1">
      <alignment horizontal="center" vertical="center"/>
    </xf>
    <xf numFmtId="0" fontId="12" fillId="4" borderId="9" xfId="0" applyFont="1" applyFill="1" applyBorder="1" applyAlignment="1">
      <alignment horizontal="left" vertical="center"/>
    </xf>
    <xf numFmtId="0" fontId="11" fillId="3" borderId="0" xfId="0" applyFont="1" applyFill="1" applyAlignment="1">
      <alignment horizontal="center" vertical="center"/>
    </xf>
    <xf numFmtId="0" fontId="11" fillId="3" borderId="0" xfId="0" applyFont="1" applyFill="1" applyAlignment="1">
      <alignment horizontal="center" vertical="center" wrapText="1"/>
    </xf>
    <xf numFmtId="0" fontId="11" fillId="3" borderId="0" xfId="0" applyFont="1" applyFill="1" applyAlignment="1">
      <alignment horizontal="center" vertical="top" wrapText="1"/>
    </xf>
    <xf numFmtId="164" fontId="11" fillId="3" borderId="0" xfId="1" applyNumberFormat="1" applyFont="1" applyFill="1" applyAlignment="1">
      <alignment horizontal="center" vertical="top" wrapText="1"/>
    </xf>
    <xf numFmtId="0" fontId="11" fillId="3" borderId="0" xfId="0" applyFont="1" applyFill="1" applyAlignment="1">
      <alignment horizontal="center"/>
    </xf>
    <xf numFmtId="0" fontId="7" fillId="0" borderId="0" xfId="0" applyFont="1" applyAlignment="1">
      <alignment horizontal="left"/>
    </xf>
    <xf numFmtId="0" fontId="7" fillId="0" borderId="5" xfId="0" applyFont="1" applyBorder="1" applyAlignment="1">
      <alignment horizontal="left"/>
    </xf>
    <xf numFmtId="49" fontId="2" fillId="6" borderId="0" xfId="0" applyNumberFormat="1" applyFont="1" applyFill="1" applyAlignment="1">
      <alignment horizontal="center" vertical="center" wrapText="1"/>
    </xf>
    <xf numFmtId="0" fontId="12" fillId="4" borderId="2" xfId="0" applyFont="1" applyFill="1" applyBorder="1" applyAlignment="1">
      <alignment horizontal="left" vertical="center"/>
    </xf>
    <xf numFmtId="0" fontId="12" fillId="4" borderId="3" xfId="0" applyFont="1" applyFill="1" applyBorder="1" applyAlignment="1">
      <alignment horizontal="left" vertical="center"/>
    </xf>
    <xf numFmtId="0" fontId="12" fillId="4" borderId="4" xfId="0" applyFont="1" applyFill="1" applyBorder="1" applyAlignment="1">
      <alignment horizontal="left" vertical="center"/>
    </xf>
    <xf numFmtId="49" fontId="2" fillId="5" borderId="0" xfId="0" applyNumberFormat="1" applyFont="1" applyFill="1" applyAlignment="1">
      <alignment horizontal="center" vertical="center" wrapText="1"/>
    </xf>
    <xf numFmtId="0" fontId="6" fillId="0" borderId="0" xfId="0" applyFont="1" applyAlignment="1">
      <alignment horizontal="left" vertical="top" wrapText="1"/>
    </xf>
    <xf numFmtId="0" fontId="18" fillId="0" borderId="0" xfId="0" applyFont="1" applyAlignment="1">
      <alignment horizontal="left" vertical="top"/>
    </xf>
    <xf numFmtId="0" fontId="26" fillId="0" borderId="0" xfId="0" applyFont="1" applyAlignment="1">
      <alignment horizontal="left" vertical="top" wrapText="1"/>
    </xf>
    <xf numFmtId="0" fontId="0" fillId="10" borderId="2" xfId="0" applyFill="1" applyBorder="1" applyAlignment="1">
      <alignment horizontal="left" vertical="top" wrapText="1"/>
    </xf>
    <xf numFmtId="0" fontId="0" fillId="10" borderId="3" xfId="0" applyFill="1" applyBorder="1" applyAlignment="1">
      <alignment horizontal="left" vertical="top" wrapText="1"/>
    </xf>
    <xf numFmtId="0" fontId="0" fillId="10" borderId="4" xfId="0" applyFill="1" applyBorder="1" applyAlignment="1">
      <alignment horizontal="left" vertical="top" wrapText="1"/>
    </xf>
    <xf numFmtId="0" fontId="6" fillId="10" borderId="2" xfId="0" applyFont="1" applyFill="1" applyBorder="1" applyAlignment="1">
      <alignment horizontal="left" vertical="top" wrapText="1"/>
    </xf>
    <xf numFmtId="0" fontId="6" fillId="10" borderId="3" xfId="0" applyFont="1" applyFill="1" applyBorder="1" applyAlignment="1">
      <alignment horizontal="left" vertical="top" wrapText="1"/>
    </xf>
    <xf numFmtId="0" fontId="6" fillId="10" borderId="4" xfId="0" applyFont="1" applyFill="1" applyBorder="1" applyAlignment="1">
      <alignment horizontal="left" vertical="top" wrapText="1"/>
    </xf>
    <xf numFmtId="0" fontId="2" fillId="10" borderId="1" xfId="0" applyFont="1" applyFill="1" applyBorder="1" applyAlignment="1">
      <alignment horizontal="left" vertical="top" wrapText="1"/>
    </xf>
    <xf numFmtId="0" fontId="2" fillId="10" borderId="0" xfId="0" applyFont="1" applyFill="1" applyAlignment="1">
      <alignment horizontal="left" vertical="top" wrapText="1"/>
    </xf>
    <xf numFmtId="0" fontId="0" fillId="10" borderId="1" xfId="0" applyFill="1" applyBorder="1" applyAlignment="1">
      <alignment horizontal="left" vertical="top" wrapText="1"/>
    </xf>
    <xf numFmtId="0" fontId="0" fillId="10" borderId="0" xfId="0" applyFill="1" applyAlignment="1">
      <alignment horizontal="left" vertical="top" wrapText="1"/>
    </xf>
    <xf numFmtId="0" fontId="27" fillId="10" borderId="1" xfId="0" applyFont="1" applyFill="1" applyBorder="1" applyAlignment="1">
      <alignment horizontal="left" vertical="top" wrapText="1"/>
    </xf>
    <xf numFmtId="0" fontId="27" fillId="10" borderId="0" xfId="0" applyFont="1" applyFill="1" applyAlignment="1">
      <alignment horizontal="left" vertical="top" wrapText="1"/>
    </xf>
    <xf numFmtId="0" fontId="17" fillId="0" borderId="0" xfId="0" applyFont="1" applyAlignment="1">
      <alignment horizontal="left" vertical="top" wrapText="1"/>
    </xf>
    <xf numFmtId="0" fontId="26" fillId="0" borderId="0" xfId="0" applyFont="1" applyAlignment="1">
      <alignment horizontal="left" vertical="top"/>
    </xf>
    <xf numFmtId="0" fontId="26" fillId="0" borderId="0" xfId="0" applyFont="1" applyAlignment="1">
      <alignment vertical="top" wrapText="1"/>
    </xf>
    <xf numFmtId="0" fontId="28" fillId="0" borderId="0" xfId="3" applyAlignment="1">
      <alignment horizontal="left" vertical="top" wrapText="1"/>
    </xf>
    <xf numFmtId="0" fontId="31" fillId="0" borderId="0" xfId="0" applyFont="1" applyAlignment="1">
      <alignment horizontal="left"/>
    </xf>
  </cellXfs>
  <cellStyles count="4">
    <cellStyle name="Komma" xfId="1" builtinId="3"/>
    <cellStyle name="Link" xfId="3" builtinId="8"/>
    <cellStyle name="Prozent" xfId="2" builtinId="5"/>
    <cellStyle name="Standard" xfId="0" builtinId="0"/>
  </cellStyles>
  <dxfs count="169">
    <dxf>
      <fill>
        <patternFill>
          <bgColor theme="9" tint="0.39994506668294322"/>
        </patternFill>
      </fill>
    </dxf>
    <dxf>
      <fill>
        <patternFill>
          <bgColor theme="7" tint="0.59996337778862885"/>
        </patternFill>
      </fill>
    </dxf>
    <dxf>
      <fill>
        <patternFill>
          <bgColor rgb="FFFFAFAF"/>
        </patternFill>
      </fill>
    </dxf>
    <dxf>
      <font>
        <color auto="1"/>
      </font>
      <fill>
        <patternFill>
          <bgColor rgb="FFFF7979"/>
        </patternFill>
      </fill>
    </dxf>
    <dxf>
      <fill>
        <patternFill>
          <bgColor theme="9" tint="0.39994506668294322"/>
        </patternFill>
      </fill>
    </dxf>
    <dxf>
      <fill>
        <patternFill>
          <bgColor rgb="FFFFAFAF"/>
        </patternFill>
      </fill>
    </dxf>
    <dxf>
      <fill>
        <patternFill>
          <bgColor theme="9" tint="0.39994506668294322"/>
        </patternFill>
      </fill>
    </dxf>
    <dxf>
      <fill>
        <patternFill>
          <bgColor theme="7" tint="0.59996337778862885"/>
        </patternFill>
      </fill>
    </dxf>
    <dxf>
      <fill>
        <patternFill>
          <bgColor rgb="FFFFAFAF"/>
        </patternFill>
      </fill>
    </dxf>
    <dxf>
      <font>
        <color auto="1"/>
      </font>
      <fill>
        <patternFill>
          <bgColor rgb="FFFF7979"/>
        </patternFill>
      </fill>
    </dxf>
    <dxf>
      <fill>
        <patternFill>
          <bgColor theme="9" tint="0.39994506668294322"/>
        </patternFill>
      </fill>
    </dxf>
    <dxf>
      <fill>
        <patternFill>
          <bgColor rgb="FFFFAFAF"/>
        </patternFill>
      </fill>
    </dxf>
    <dxf>
      <fill>
        <patternFill>
          <bgColor theme="9" tint="0.39994506668294322"/>
        </patternFill>
      </fill>
    </dxf>
    <dxf>
      <fill>
        <patternFill>
          <bgColor rgb="FFFF7979"/>
        </patternFill>
      </fill>
    </dxf>
    <dxf>
      <fill>
        <patternFill>
          <bgColor rgb="FFFFAFAF"/>
        </patternFill>
      </fill>
    </dxf>
    <dxf>
      <fill>
        <patternFill>
          <bgColor theme="9" tint="0.79998168889431442"/>
        </patternFill>
      </fill>
    </dxf>
    <dxf>
      <fill>
        <patternFill>
          <bgColor theme="7" tint="0.39994506668294322"/>
        </patternFill>
      </fill>
    </dxf>
    <dxf>
      <fill>
        <patternFill>
          <bgColor rgb="FFFFF8E5"/>
        </patternFill>
      </fill>
    </dxf>
    <dxf>
      <font>
        <color theme="0" tint="-0.24994659260841701"/>
      </font>
      <fill>
        <patternFill>
          <bgColor theme="0" tint="-4.9989318521683403E-2"/>
        </patternFill>
      </fill>
    </dxf>
    <dxf>
      <font>
        <color auto="1"/>
      </font>
      <fill>
        <patternFill>
          <bgColor theme="7" tint="0.59996337778862885"/>
        </patternFill>
      </fill>
    </dxf>
    <dxf>
      <font>
        <color auto="1"/>
      </font>
      <fill>
        <patternFill>
          <bgColor rgb="FFFF7979"/>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auto="1"/>
      </font>
      <fill>
        <patternFill>
          <bgColor theme="7" tint="0.59996337778862885"/>
        </patternFill>
      </fill>
    </dxf>
    <dxf>
      <font>
        <color auto="1"/>
      </font>
      <fill>
        <patternFill>
          <bgColor rgb="FFFF7979"/>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auto="1"/>
      </font>
      <fill>
        <patternFill>
          <bgColor theme="5" tint="0.39994506668294322"/>
        </patternFill>
      </fill>
    </dxf>
    <dxf>
      <font>
        <color theme="0"/>
      </font>
      <fill>
        <patternFill>
          <bgColor theme="9" tint="-0.2499465926084170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FF7979"/>
        </patternFill>
      </fill>
    </dxf>
    <dxf>
      <fill>
        <patternFill>
          <bgColor theme="9" tint="0.39994506668294322"/>
        </patternFill>
      </fill>
    </dxf>
    <dxf>
      <fill>
        <patternFill>
          <bgColor theme="7" tint="0.59996337778862885"/>
        </patternFill>
      </fill>
    </dxf>
    <dxf>
      <font>
        <color auto="1"/>
      </font>
      <fill>
        <patternFill>
          <bgColor rgb="FFFF7979"/>
        </patternFill>
      </fill>
    </dxf>
    <dxf>
      <fill>
        <patternFill>
          <bgColor rgb="FFFFAFAF"/>
        </patternFill>
      </fill>
    </dxf>
    <dxf>
      <font>
        <color auto="1"/>
      </font>
      <fill>
        <patternFill>
          <bgColor rgb="FFFF7979"/>
        </patternFill>
      </fill>
    </dxf>
    <dxf>
      <font>
        <color auto="1"/>
      </font>
      <fill>
        <patternFill>
          <bgColor rgb="FFA9D08E"/>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auto="1"/>
      </font>
      <fill>
        <patternFill>
          <bgColor theme="5" tint="0.39994506668294322"/>
        </patternFill>
      </fill>
    </dxf>
    <dxf>
      <font>
        <color theme="0"/>
      </font>
      <fill>
        <patternFill>
          <bgColor theme="9" tint="-0.2499465926084170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FF7979"/>
        </patternFill>
      </fill>
    </dxf>
    <dxf>
      <fill>
        <patternFill>
          <bgColor theme="9" tint="0.39994506668294322"/>
        </patternFill>
      </fill>
    </dxf>
    <dxf>
      <fill>
        <patternFill>
          <bgColor theme="7" tint="0.59996337778862885"/>
        </patternFill>
      </fill>
    </dxf>
    <dxf>
      <font>
        <color auto="1"/>
      </font>
      <fill>
        <patternFill>
          <bgColor rgb="FFFF7979"/>
        </patternFill>
      </fill>
    </dxf>
    <dxf>
      <fill>
        <patternFill>
          <bgColor rgb="FFFFAFAF"/>
        </patternFill>
      </fill>
    </dxf>
    <dxf>
      <font>
        <color auto="1"/>
      </font>
      <fill>
        <patternFill>
          <bgColor rgb="FFFF7979"/>
        </patternFill>
      </fill>
    </dxf>
    <dxf>
      <font>
        <color auto="1"/>
      </font>
      <fill>
        <patternFill>
          <bgColor rgb="FFA9D08E"/>
        </patternFill>
      </fill>
    </dxf>
    <dxf>
      <font>
        <color theme="0"/>
      </font>
      <fill>
        <patternFill>
          <bgColor theme="0"/>
        </patternFill>
      </fill>
    </dxf>
    <dxf>
      <font>
        <color auto="1"/>
      </font>
      <fill>
        <patternFill>
          <bgColor rgb="FFFF7979"/>
        </patternFill>
      </fill>
    </dxf>
    <dxf>
      <font>
        <strike val="0"/>
        <color theme="1"/>
      </font>
      <fill>
        <patternFill>
          <bgColor theme="7" tint="0.59996337778862885"/>
        </patternFill>
      </fill>
    </dxf>
    <dxf>
      <font>
        <strike val="0"/>
        <color auto="1"/>
      </font>
      <fill>
        <patternFill>
          <bgColor theme="9" tint="0.39994506668294322"/>
        </patternFill>
      </fill>
    </dxf>
    <dxf>
      <font>
        <color theme="0"/>
      </font>
      <fill>
        <patternFill>
          <bgColor theme="0"/>
        </patternFill>
      </fill>
    </dxf>
    <dxf>
      <font>
        <color theme="3" tint="0.59996337778862885"/>
      </font>
      <fill>
        <patternFill>
          <bgColor theme="3" tint="0.59996337778862885"/>
        </patternFill>
      </fill>
    </dxf>
    <dxf>
      <font>
        <color theme="7" tint="-0.24994659260841701"/>
      </font>
    </dxf>
    <dxf>
      <font>
        <color rgb="FFFF0000"/>
      </font>
    </dxf>
    <dxf>
      <font>
        <color theme="0"/>
      </font>
    </dxf>
    <dxf>
      <font>
        <color rgb="FF00B050"/>
      </font>
    </dxf>
    <dxf>
      <font>
        <color theme="7" tint="-0.24994659260841701"/>
      </font>
    </dxf>
    <dxf>
      <font>
        <color theme="0" tint="-0.14996795556505021"/>
      </font>
      <fill>
        <patternFill>
          <bgColor theme="0"/>
        </patternFill>
      </fill>
    </dxf>
    <dxf>
      <font>
        <color auto="1"/>
      </font>
      <fill>
        <patternFill>
          <bgColor theme="9" tint="0.39994506668294322"/>
        </patternFill>
      </fill>
    </dxf>
    <dxf>
      <font>
        <color auto="1"/>
      </font>
      <fill>
        <patternFill>
          <bgColor rgb="FFFF7979"/>
        </patternFill>
      </fill>
    </dxf>
    <dxf>
      <font>
        <color auto="1"/>
      </font>
      <fill>
        <patternFill>
          <bgColor rgb="FFFF7979"/>
        </patternFill>
      </fill>
    </dxf>
    <dxf>
      <fill>
        <patternFill>
          <bgColor theme="9" tint="0.39994506668294322"/>
        </patternFill>
      </fill>
    </dxf>
    <dxf>
      <font>
        <color auto="1"/>
      </font>
      <fill>
        <patternFill>
          <bgColor rgb="FFFF7979"/>
        </patternFill>
      </fill>
    </dxf>
    <dxf>
      <fill>
        <patternFill>
          <bgColor rgb="FFFFAFAF"/>
        </patternFill>
      </fill>
    </dxf>
    <dxf>
      <fill>
        <patternFill>
          <bgColor theme="7" tint="0.59996337778862885"/>
        </patternFill>
      </fill>
    </dxf>
    <dxf>
      <fill>
        <patternFill>
          <bgColor theme="9" tint="0.39994506668294322"/>
        </patternFill>
      </fill>
    </dxf>
    <dxf>
      <font>
        <color auto="1"/>
      </font>
      <fill>
        <patternFill>
          <bgColor rgb="FFFF7979"/>
        </patternFill>
      </fill>
    </dxf>
    <dxf>
      <font>
        <color auto="1"/>
      </font>
      <fill>
        <patternFill>
          <bgColor theme="7" tint="0.59996337778862885"/>
        </patternFill>
      </fill>
    </dxf>
    <dxf>
      <font>
        <color auto="1"/>
      </font>
      <fill>
        <patternFill>
          <bgColor rgb="FFFF7979"/>
        </patternFill>
      </fill>
    </dxf>
    <dxf>
      <font>
        <color auto="1"/>
      </font>
      <fill>
        <patternFill>
          <bgColor theme="7" tint="0.59996337778862885"/>
        </patternFill>
      </fill>
    </dxf>
    <dxf>
      <font>
        <color auto="1"/>
      </font>
      <fill>
        <patternFill>
          <bgColor theme="9" tint="0.39994506668294322"/>
        </patternFill>
      </fill>
    </dxf>
    <dxf>
      <font>
        <color auto="1"/>
      </font>
      <fill>
        <patternFill>
          <bgColor rgb="FFFF7979"/>
        </patternFill>
      </fill>
    </dxf>
    <dxf>
      <font>
        <color auto="1"/>
      </font>
      <fill>
        <patternFill>
          <bgColor theme="7" tint="0.59996337778862885"/>
        </patternFill>
      </fill>
    </dxf>
    <dxf>
      <font>
        <color auto="1"/>
      </font>
      <fill>
        <patternFill>
          <bgColor rgb="FFFF7979"/>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font>
      <fill>
        <patternFill>
          <bgColor theme="0"/>
        </patternFill>
      </fill>
    </dxf>
    <dxf>
      <font>
        <color auto="1"/>
      </font>
      <fill>
        <patternFill>
          <bgColor rgb="FFFF7979"/>
        </patternFill>
      </fill>
    </dxf>
    <dxf>
      <font>
        <strike val="0"/>
        <color theme="1"/>
      </font>
      <fill>
        <patternFill>
          <bgColor theme="7" tint="0.59996337778862885"/>
        </patternFill>
      </fill>
    </dxf>
    <dxf>
      <font>
        <strike val="0"/>
        <color auto="1"/>
      </font>
      <fill>
        <patternFill>
          <bgColor theme="9" tint="0.39994506668294322"/>
        </patternFill>
      </fill>
    </dxf>
    <dxf>
      <font>
        <color theme="0"/>
      </font>
      <fill>
        <patternFill>
          <bgColor theme="0"/>
        </patternFill>
      </fill>
    </dxf>
    <dxf>
      <font>
        <color theme="3" tint="0.59996337778862885"/>
      </font>
      <fill>
        <patternFill>
          <bgColor theme="3" tint="0.59996337778862885"/>
        </patternFill>
      </fill>
    </dxf>
    <dxf>
      <font>
        <color theme="7" tint="-0.24994659260841701"/>
      </font>
    </dxf>
    <dxf>
      <font>
        <color rgb="FFFF0000"/>
      </font>
    </dxf>
    <dxf>
      <font>
        <color theme="0"/>
      </font>
    </dxf>
    <dxf>
      <font>
        <color rgb="FF00B050"/>
      </font>
    </dxf>
    <dxf>
      <font>
        <color theme="7" tint="-0.24994659260841701"/>
      </font>
    </dxf>
    <dxf>
      <font>
        <color auto="1"/>
      </font>
      <fill>
        <patternFill>
          <bgColor theme="9" tint="0.39994506668294322"/>
        </patternFill>
      </fill>
    </dxf>
    <dxf>
      <font>
        <color auto="1"/>
      </font>
      <fill>
        <patternFill>
          <bgColor rgb="FFFF7979"/>
        </patternFill>
      </fill>
    </dxf>
    <dxf>
      <font>
        <color auto="1"/>
      </font>
      <fill>
        <patternFill>
          <bgColor rgb="FFFF7979"/>
        </patternFill>
      </fill>
    </dxf>
    <dxf>
      <fill>
        <patternFill>
          <bgColor theme="9" tint="0.39994506668294322"/>
        </patternFill>
      </fill>
    </dxf>
    <dxf>
      <font>
        <color auto="1"/>
      </font>
      <fill>
        <patternFill>
          <bgColor rgb="FFFF7979"/>
        </patternFill>
      </fill>
    </dxf>
    <dxf>
      <fill>
        <patternFill>
          <bgColor rgb="FFFFAFAF"/>
        </patternFill>
      </fill>
    </dxf>
    <dxf>
      <fill>
        <patternFill>
          <bgColor theme="7" tint="0.59996337778862885"/>
        </patternFill>
      </fill>
    </dxf>
    <dxf>
      <fill>
        <patternFill>
          <bgColor theme="9" tint="0.39994506668294322"/>
        </patternFill>
      </fill>
    </dxf>
    <dxf>
      <font>
        <color auto="1"/>
      </font>
      <fill>
        <patternFill>
          <bgColor rgb="FFFF7979"/>
        </patternFill>
      </fill>
    </dxf>
    <dxf>
      <font>
        <color auto="1"/>
      </font>
      <fill>
        <patternFill>
          <bgColor theme="7" tint="0.59996337778862885"/>
        </patternFill>
      </fill>
    </dxf>
    <dxf>
      <font>
        <color auto="1"/>
      </font>
      <fill>
        <patternFill>
          <bgColor rgb="FFFF7979"/>
        </patternFill>
      </fill>
    </dxf>
    <dxf>
      <font>
        <color auto="1"/>
      </font>
      <fill>
        <patternFill>
          <bgColor theme="7" tint="0.59996337778862885"/>
        </patternFill>
      </fill>
    </dxf>
    <dxf>
      <font>
        <color auto="1"/>
      </font>
      <fill>
        <patternFill>
          <bgColor rgb="FFFF7979"/>
        </patternFill>
      </fill>
    </dxf>
    <dxf>
      <font>
        <color auto="1"/>
      </font>
      <fill>
        <patternFill>
          <bgColor theme="9" tint="0.39994506668294322"/>
        </patternFill>
      </fill>
    </dxf>
    <dxf>
      <font>
        <color auto="1"/>
      </font>
      <fill>
        <patternFill>
          <bgColor theme="7" tint="0.59996337778862885"/>
        </patternFill>
      </fill>
    </dxf>
    <dxf>
      <font>
        <color auto="1"/>
      </font>
      <fill>
        <patternFill>
          <bgColor rgb="FFFF7979"/>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s>
  <tableStyles count="0" defaultTableStyle="TableStyleMedium2" defaultPivotStyle="PivotStyleLight16"/>
  <colors>
    <mruColors>
      <color rgb="FFDF671A"/>
      <color rgb="FFF3F3F3"/>
      <color rgb="FF2E5E58"/>
      <color rgb="FFEFB38C"/>
      <color rgb="FFEFB3BC"/>
      <color rgb="FF3D3E3F"/>
      <color rgb="FFEFA171"/>
      <color rgb="FFFF7979"/>
      <color rgb="FFF8696B"/>
      <color rgb="FFFF1D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b="1"/>
              <a:t>Risk Radar</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radarChart>
        <c:radarStyle val="filled"/>
        <c:varyColors val="0"/>
        <c:ser>
          <c:idx val="0"/>
          <c:order val="0"/>
          <c:tx>
            <c:v>Financial Harm (overall)</c:v>
          </c:tx>
          <c:spPr>
            <a:solidFill>
              <a:srgbClr val="FF7979"/>
            </a:solidFill>
            <a:ln>
              <a:noFill/>
            </a:ln>
            <a:effectLst/>
          </c:spPr>
          <c:cat>
            <c:strRef>
              <c:extLst>
                <c:ext xmlns:c15="http://schemas.microsoft.com/office/drawing/2012/chart" uri="{02D57815-91ED-43cb-92C2-25804820EDAC}">
                  <c15:fullRef>
                    <c15:sqref>'GAIRA Comprehensive E'!$AM$199:$AW$199</c15:sqref>
                  </c15:fullRef>
                </c:ext>
              </c:extLst>
              <c:f>('GAIRA Comprehensive E'!$AM$199,'GAIRA Comprehensive E'!$AO$199,'GAIRA Comprehensive E'!$AQ$199,'GAIRA Comprehensive E'!$AS$199,'GAIRA Comprehensive E'!$AU$199,'GAIRA Comprehensive E'!$AW$199)</c:f>
              <c:strCache>
                <c:ptCount val="6"/>
                <c:pt idx="0">
                  <c:v>Data Protection</c:v>
                </c:pt>
                <c:pt idx="1">
                  <c:v>Secrecy</c:v>
                </c:pt>
                <c:pt idx="2">
                  <c:v>IP</c:v>
                </c:pt>
                <c:pt idx="3">
                  <c:v>General</c:v>
                </c:pt>
                <c:pt idx="4">
                  <c:v>Quality</c:v>
                </c:pt>
                <c:pt idx="5">
                  <c:v>Ethics</c:v>
                </c:pt>
              </c:strCache>
            </c:strRef>
          </c:cat>
          <c:val>
            <c:numRef>
              <c:extLst>
                <c:ext xmlns:c15="http://schemas.microsoft.com/office/drawing/2012/chart" uri="{02D57815-91ED-43cb-92C2-25804820EDAC}">
                  <c15:fullRef>
                    <c15:sqref>'GAIRA Comprehensive E'!$AM$205:$AW$205</c15:sqref>
                  </c15:fullRef>
                </c:ext>
              </c:extLst>
              <c:f>('GAIRA Comprehensive E'!$AM$205,'GAIRA Comprehensive E'!$AO$205,'GAIRA Comprehensive E'!$AQ$205,'GAIRA Comprehensive E'!$AS$205,'GAIRA Comprehensive E'!$AU$205,'GAIRA Comprehensive E'!$AW$205)</c:f>
              <c:numCache>
                <c:formatCode>General</c:formatCode>
                <c:ptCount val="6"/>
                <c:pt idx="0" formatCode="0%">
                  <c:v>0.14204545454545456</c:v>
                </c:pt>
                <c:pt idx="1" formatCode="0%">
                  <c:v>0.13541666666666666</c:v>
                </c:pt>
                <c:pt idx="2" formatCode="0%">
                  <c:v>0.125</c:v>
                </c:pt>
                <c:pt idx="3" formatCode="0%">
                  <c:v>0.23076923076923078</c:v>
                </c:pt>
                <c:pt idx="4" formatCode="0%">
                  <c:v>0.171875</c:v>
                </c:pt>
                <c:pt idx="5" formatCode="0%">
                  <c:v>9.8214285714285712E-2</c:v>
                </c:pt>
              </c:numCache>
            </c:numRef>
          </c:val>
          <c:extLst>
            <c:ext xmlns:c16="http://schemas.microsoft.com/office/drawing/2014/chart" uri="{C3380CC4-5D6E-409C-BE32-E72D297353CC}">
              <c16:uniqueId val="{00000000-A8A0-40B5-B4EC-F72A998FD819}"/>
            </c:ext>
          </c:extLst>
        </c:ser>
        <c:ser>
          <c:idx val="1"/>
          <c:order val="1"/>
          <c:tx>
            <c:v>Reputational Harm (overall)</c:v>
          </c:tx>
          <c:spPr>
            <a:solidFill>
              <a:srgbClr val="F8696B">
                <a:alpha val="50196"/>
              </a:srgbClr>
            </a:solidFill>
            <a:ln>
              <a:noFill/>
            </a:ln>
            <a:effectLst/>
          </c:spPr>
          <c:cat>
            <c:strLit>
              <c:ptCount val="6"/>
              <c:pt idx="0">
                <c:v>Data Protection</c:v>
              </c:pt>
              <c:pt idx="1">
                <c:v>Secrecy</c:v>
              </c:pt>
              <c:pt idx="2">
                <c:v>IP</c:v>
              </c:pt>
              <c:pt idx="3">
                <c:v>General</c:v>
              </c:pt>
              <c:pt idx="4">
                <c:v>Quality</c:v>
              </c:pt>
              <c:pt idx="5">
                <c:v>Ethics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E'!$AY$205:$BI$205</c15:sqref>
                  </c15:fullRef>
                </c:ext>
              </c:extLst>
              <c:f>('GAIRA Comprehensive E'!$AY$205,'GAIRA Comprehensive E'!$BA$205,'GAIRA Comprehensive E'!$BC$205,'GAIRA Comprehensive E'!$BE$205,'GAIRA Comprehensive E'!$BG$205,'GAIRA Comprehensive E'!$BI$205)</c:f>
              <c:numCache>
                <c:formatCode>General</c:formatCode>
                <c:ptCount val="6"/>
                <c:pt idx="0" formatCode="0%">
                  <c:v>0.18437500000000001</c:v>
                </c:pt>
                <c:pt idx="1" formatCode="0%">
                  <c:v>0.1125</c:v>
                </c:pt>
                <c:pt idx="2" formatCode="0%">
                  <c:v>6.25E-2</c:v>
                </c:pt>
                <c:pt idx="3" formatCode="0%">
                  <c:v>0.17499999999999999</c:v>
                </c:pt>
                <c:pt idx="4" formatCode="0%">
                  <c:v>0.21875</c:v>
                </c:pt>
                <c:pt idx="5" formatCode="0%">
                  <c:v>0.23749999999999999</c:v>
                </c:pt>
              </c:numCache>
            </c:numRef>
          </c:val>
          <c:extLst>
            <c:ext xmlns:c16="http://schemas.microsoft.com/office/drawing/2014/chart" uri="{C3380CC4-5D6E-409C-BE32-E72D297353CC}">
              <c16:uniqueId val="{0000000E-A8A0-40B5-B4EC-F72A998FD819}"/>
            </c:ext>
          </c:extLst>
        </c:ser>
        <c:dLbls>
          <c:showLegendKey val="0"/>
          <c:showVal val="0"/>
          <c:showCatName val="0"/>
          <c:showSerName val="0"/>
          <c:showPercent val="0"/>
          <c:showBubbleSize val="0"/>
        </c:dLbls>
        <c:axId val="547240160"/>
        <c:axId val="30518415"/>
      </c:radarChart>
      <c:radarChart>
        <c:radarStyle val="marker"/>
        <c:varyColors val="0"/>
        <c:ser>
          <c:idx val="2"/>
          <c:order val="2"/>
          <c:tx>
            <c:v>Financial Harm (max)</c:v>
          </c:tx>
          <c:spPr>
            <a:ln w="19050" cap="rnd">
              <a:solidFill>
                <a:srgbClr val="FF1D1D"/>
              </a:solidFill>
              <a:prstDash val="dash"/>
              <a:round/>
            </a:ln>
            <a:effectLst/>
          </c:spPr>
          <c:marker>
            <c:symbol val="none"/>
          </c:marker>
          <c:cat>
            <c:strLit>
              <c:ptCount val="6"/>
              <c:pt idx="0">
                <c:v>Data Protection</c:v>
              </c:pt>
              <c:pt idx="1">
                <c:v>Secrecy</c:v>
              </c:pt>
              <c:pt idx="2">
                <c:v>IP</c:v>
              </c:pt>
              <c:pt idx="3">
                <c:v>General</c:v>
              </c:pt>
              <c:pt idx="4">
                <c:v>Quality</c:v>
              </c:pt>
              <c:pt idx="5">
                <c:v>Ethics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E'!$AM$206:$AW$206</c15:sqref>
                  </c15:fullRef>
                </c:ext>
              </c:extLst>
              <c:f>('GAIRA Comprehensive E'!$AM$206,'GAIRA Comprehensive E'!$AO$206,'GAIRA Comprehensive E'!$AQ$206,'GAIRA Comprehensive E'!$AS$206,'GAIRA Comprehensive E'!$AU$206,'GAIRA Comprehensive E'!$AW$206)</c:f>
              <c:numCache>
                <c:formatCode>General</c:formatCode>
                <c:ptCount val="6"/>
                <c:pt idx="0" formatCode="0%">
                  <c:v>0.25</c:v>
                </c:pt>
                <c:pt idx="1" formatCode="0%">
                  <c:v>0.25</c:v>
                </c:pt>
                <c:pt idx="2" formatCode="0%">
                  <c:v>0.125</c:v>
                </c:pt>
                <c:pt idx="3" formatCode="0%">
                  <c:v>0.5625</c:v>
                </c:pt>
                <c:pt idx="4" formatCode="0%">
                  <c:v>0.375</c:v>
                </c:pt>
                <c:pt idx="5" formatCode="0%">
                  <c:v>0.1875</c:v>
                </c:pt>
              </c:numCache>
            </c:numRef>
          </c:val>
          <c:extLst>
            <c:ext xmlns:c16="http://schemas.microsoft.com/office/drawing/2014/chart" uri="{C3380CC4-5D6E-409C-BE32-E72D297353CC}">
              <c16:uniqueId val="{00000010-A8A0-40B5-B4EC-F72A998FD819}"/>
            </c:ext>
          </c:extLst>
        </c:ser>
        <c:ser>
          <c:idx val="3"/>
          <c:order val="3"/>
          <c:tx>
            <c:v>Reputational Harm (max)</c:v>
          </c:tx>
          <c:spPr>
            <a:ln w="19050" cap="rnd">
              <a:solidFill>
                <a:srgbClr val="F8696B"/>
              </a:solidFill>
              <a:prstDash val="sysDot"/>
              <a:round/>
            </a:ln>
            <a:effectLst/>
          </c:spPr>
          <c:marker>
            <c:symbol val="none"/>
          </c:marker>
          <c:dPt>
            <c:idx val="0"/>
            <c:marker>
              <c:symbol val="none"/>
            </c:marker>
            <c:bubble3D val="0"/>
            <c:spPr>
              <a:ln w="22225" cap="rnd">
                <a:solidFill>
                  <a:srgbClr val="F8696B"/>
                </a:solidFill>
                <a:prstDash val="sysDot"/>
                <a:round/>
              </a:ln>
              <a:effectLst/>
            </c:spPr>
            <c:extLst>
              <c:ext xmlns:c16="http://schemas.microsoft.com/office/drawing/2014/chart" uri="{C3380CC4-5D6E-409C-BE32-E72D297353CC}">
                <c16:uniqueId val="{00000012-A8A0-40B5-B4EC-F72A998FD819}"/>
              </c:ext>
            </c:extLst>
          </c:dPt>
          <c:cat>
            <c:strLit>
              <c:ptCount val="6"/>
              <c:pt idx="0">
                <c:v>Data Protection</c:v>
              </c:pt>
              <c:pt idx="1">
                <c:v>Secrecy</c:v>
              </c:pt>
              <c:pt idx="2">
                <c:v>IP</c:v>
              </c:pt>
              <c:pt idx="3">
                <c:v>General</c:v>
              </c:pt>
              <c:pt idx="4">
                <c:v>Quality</c:v>
              </c:pt>
              <c:pt idx="5">
                <c:v>Ethics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E'!$AY$206:$BI$206</c15:sqref>
                  </c15:fullRef>
                </c:ext>
              </c:extLst>
              <c:f>('GAIRA Comprehensive E'!$AY$206,'GAIRA Comprehensive E'!$BA$206,'GAIRA Comprehensive E'!$BC$206,'GAIRA Comprehensive E'!$BE$206,'GAIRA Comprehensive E'!$BG$206,'GAIRA Comprehensive E'!$BI$206)</c:f>
              <c:numCache>
                <c:formatCode>General</c:formatCode>
                <c:ptCount val="6"/>
                <c:pt idx="0" formatCode="0%">
                  <c:v>0.375</c:v>
                </c:pt>
                <c:pt idx="1" formatCode="0%">
                  <c:v>0.1875</c:v>
                </c:pt>
                <c:pt idx="2" formatCode="0%">
                  <c:v>6.25E-2</c:v>
                </c:pt>
                <c:pt idx="3" formatCode="0%">
                  <c:v>0.375</c:v>
                </c:pt>
                <c:pt idx="4" formatCode="0%">
                  <c:v>0.375</c:v>
                </c:pt>
                <c:pt idx="5" formatCode="0%">
                  <c:v>0.5625</c:v>
                </c:pt>
              </c:numCache>
            </c:numRef>
          </c:val>
          <c:extLst>
            <c:ext xmlns:c16="http://schemas.microsoft.com/office/drawing/2014/chart" uri="{C3380CC4-5D6E-409C-BE32-E72D297353CC}">
              <c16:uniqueId val="{00000011-A8A0-40B5-B4EC-F72A998FD819}"/>
            </c:ext>
          </c:extLst>
        </c:ser>
        <c:dLbls>
          <c:showLegendKey val="0"/>
          <c:showVal val="0"/>
          <c:showCatName val="0"/>
          <c:showSerName val="0"/>
          <c:showPercent val="0"/>
          <c:showBubbleSize val="0"/>
        </c:dLbls>
        <c:axId val="547240160"/>
        <c:axId val="30518415"/>
      </c:radarChart>
      <c:catAx>
        <c:axId val="54724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30518415"/>
        <c:crosses val="autoZero"/>
        <c:auto val="1"/>
        <c:lblAlgn val="ctr"/>
        <c:lblOffset val="100"/>
        <c:noMultiLvlLbl val="0"/>
      </c:catAx>
      <c:valAx>
        <c:axId val="30518415"/>
        <c:scaling>
          <c:orientation val="minMax"/>
          <c:max val="1"/>
        </c:scaling>
        <c:delete val="1"/>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crossAx val="54724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b="1"/>
              <a:t>Risk Radar</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radarChart>
        <c:radarStyle val="filled"/>
        <c:varyColors val="0"/>
        <c:ser>
          <c:idx val="0"/>
          <c:order val="0"/>
          <c:tx>
            <c:v>Finanzieller Schaden (Summe)</c:v>
          </c:tx>
          <c:spPr>
            <a:solidFill>
              <a:srgbClr val="FF7979"/>
            </a:solidFill>
            <a:ln>
              <a:noFill/>
            </a:ln>
            <a:effectLst/>
          </c:spPr>
          <c:cat>
            <c:strRef>
              <c:extLst>
                <c:ext xmlns:c15="http://schemas.microsoft.com/office/drawing/2012/chart" uri="{02D57815-91ED-43cb-92C2-25804820EDAC}">
                  <c15:fullRef>
                    <c15:sqref>'GAIRA Comprehensive D'!$AM$199:$AW$199</c15:sqref>
                  </c15:fullRef>
                </c:ext>
              </c:extLst>
              <c:f>('GAIRA Comprehensive D'!$AM$199,'GAIRA Comprehensive D'!$AO$199,'GAIRA Comprehensive D'!$AQ$199,'GAIRA Comprehensive D'!$AS$199,'GAIRA Comprehensive D'!$AU$199,'GAIRA Comprehensive D'!$AW$199)</c:f>
              <c:strCache>
                <c:ptCount val="6"/>
                <c:pt idx="0">
                  <c:v>Datenschutz</c:v>
                </c:pt>
                <c:pt idx="1">
                  <c:v>Geheimnisse</c:v>
                </c:pt>
                <c:pt idx="2">
                  <c:v>IP</c:v>
                </c:pt>
                <c:pt idx="3">
                  <c:v>Allgemein</c:v>
                </c:pt>
                <c:pt idx="4">
                  <c:v>Qualität</c:v>
                </c:pt>
                <c:pt idx="5">
                  <c:v>Ethik</c:v>
                </c:pt>
              </c:strCache>
            </c:strRef>
          </c:cat>
          <c:val>
            <c:numRef>
              <c:extLst>
                <c:ext xmlns:c15="http://schemas.microsoft.com/office/drawing/2012/chart" uri="{02D57815-91ED-43cb-92C2-25804820EDAC}">
                  <c15:fullRef>
                    <c15:sqref>'GAIRA Comprehensive D'!$AM$205:$AW$205</c15:sqref>
                  </c15:fullRef>
                </c:ext>
              </c:extLst>
              <c:f>('GAIRA Comprehensive D'!$AM$205,'GAIRA Comprehensive D'!$AO$205,'GAIRA Comprehensive D'!$AQ$205,'GAIRA Comprehensive D'!$AS$205,'GAIRA Comprehensive D'!$AU$205,'GAIRA Comprehensive D'!$AW$205)</c:f>
              <c:numCache>
                <c:formatCode>General</c:formatCode>
                <c:ptCount val="6"/>
                <c:pt idx="0" formatCode="0%">
                  <c:v>0</c:v>
                </c:pt>
                <c:pt idx="1" formatCode="0%">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0-500A-49F0-9D8C-0E7B2D374F10}"/>
            </c:ext>
          </c:extLst>
        </c:ser>
        <c:ser>
          <c:idx val="1"/>
          <c:order val="1"/>
          <c:tx>
            <c:v>Reputativer Schaden (Summe)</c:v>
          </c:tx>
          <c:spPr>
            <a:solidFill>
              <a:srgbClr val="F8696B">
                <a:alpha val="50196"/>
              </a:srgbClr>
            </a:solidFill>
            <a:ln>
              <a:noFill/>
            </a:ln>
            <a:effectLst/>
          </c:spPr>
          <c:cat>
            <c:strLit>
              <c:ptCount val="6"/>
              <c:pt idx="0">
                <c:v>Datenschutz</c:v>
              </c:pt>
              <c:pt idx="1">
                <c:v>Geheimnisse</c:v>
              </c:pt>
              <c:pt idx="2">
                <c:v>IP</c:v>
              </c:pt>
              <c:pt idx="3">
                <c:v>Allgemein</c:v>
              </c:pt>
              <c:pt idx="4">
                <c:v>Qualität</c:v>
              </c:pt>
              <c:pt idx="5">
                <c:v>Ethik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D'!$AY$205:$BI$205</c15:sqref>
                  </c15:fullRef>
                </c:ext>
              </c:extLst>
              <c:f>('GAIRA Comprehensive D'!$AY$205,'GAIRA Comprehensive D'!$BA$205,'GAIRA Comprehensive D'!$BC$205,'GAIRA Comprehensive D'!$BE$205,'GAIRA Comprehensive D'!$BG$205,'GAIRA Comprehensive D'!$BI$205)</c:f>
              <c:numCache>
                <c:formatCode>General</c:formatCode>
                <c:ptCount val="6"/>
                <c:pt idx="0" formatCode="0%">
                  <c:v>0</c:v>
                </c:pt>
                <c:pt idx="1" formatCode="0%">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1-500A-49F0-9D8C-0E7B2D374F10}"/>
            </c:ext>
          </c:extLst>
        </c:ser>
        <c:dLbls>
          <c:showLegendKey val="0"/>
          <c:showVal val="0"/>
          <c:showCatName val="0"/>
          <c:showSerName val="0"/>
          <c:showPercent val="0"/>
          <c:showBubbleSize val="0"/>
        </c:dLbls>
        <c:axId val="547240160"/>
        <c:axId val="30518415"/>
      </c:radarChart>
      <c:radarChart>
        <c:radarStyle val="marker"/>
        <c:varyColors val="0"/>
        <c:ser>
          <c:idx val="2"/>
          <c:order val="2"/>
          <c:tx>
            <c:v>Finanzieller Schaden (Max.)</c:v>
          </c:tx>
          <c:spPr>
            <a:ln w="19050" cap="rnd">
              <a:solidFill>
                <a:srgbClr val="FF1D1D"/>
              </a:solidFill>
              <a:prstDash val="dash"/>
              <a:round/>
            </a:ln>
            <a:effectLst/>
          </c:spPr>
          <c:marker>
            <c:symbol val="none"/>
          </c:marker>
          <c:cat>
            <c:strLit>
              <c:ptCount val="6"/>
              <c:pt idx="0">
                <c:v>Datenschutz</c:v>
              </c:pt>
              <c:pt idx="1">
                <c:v>Geheimnisse</c:v>
              </c:pt>
              <c:pt idx="2">
                <c:v>IP</c:v>
              </c:pt>
              <c:pt idx="3">
                <c:v>Allgemein</c:v>
              </c:pt>
              <c:pt idx="4">
                <c:v>Qualität</c:v>
              </c:pt>
              <c:pt idx="5">
                <c:v>Ethik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D'!$AM$206:$AW$206</c15:sqref>
                  </c15:fullRef>
                </c:ext>
              </c:extLst>
              <c:f>('GAIRA Comprehensive D'!$AM$206,'GAIRA Comprehensive D'!$AO$206,'GAIRA Comprehensive D'!$AQ$206,'GAIRA Comprehensive D'!$AS$206,'GAIRA Comprehensive D'!$AU$206,'GAIRA Comprehensive D'!$AW$206)</c:f>
              <c:numCache>
                <c:formatCode>General</c:formatCode>
                <c:ptCount val="6"/>
                <c:pt idx="0" formatCode="0%">
                  <c:v>0</c:v>
                </c:pt>
                <c:pt idx="1" formatCode="0%">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2-500A-49F0-9D8C-0E7B2D374F10}"/>
            </c:ext>
          </c:extLst>
        </c:ser>
        <c:ser>
          <c:idx val="3"/>
          <c:order val="3"/>
          <c:tx>
            <c:v>Reputativer Schaden (Max.)</c:v>
          </c:tx>
          <c:spPr>
            <a:ln w="19050" cap="rnd">
              <a:solidFill>
                <a:srgbClr val="F8696B"/>
              </a:solidFill>
              <a:prstDash val="sysDot"/>
              <a:round/>
            </a:ln>
            <a:effectLst/>
          </c:spPr>
          <c:marker>
            <c:symbol val="none"/>
          </c:marker>
          <c:dPt>
            <c:idx val="0"/>
            <c:marker>
              <c:symbol val="none"/>
            </c:marker>
            <c:bubble3D val="0"/>
            <c:spPr>
              <a:ln w="22225" cap="rnd">
                <a:solidFill>
                  <a:srgbClr val="F8696B"/>
                </a:solidFill>
                <a:prstDash val="sysDot"/>
                <a:round/>
              </a:ln>
              <a:effectLst/>
            </c:spPr>
            <c:extLst>
              <c:ext xmlns:c16="http://schemas.microsoft.com/office/drawing/2014/chart" uri="{C3380CC4-5D6E-409C-BE32-E72D297353CC}">
                <c16:uniqueId val="{00000004-500A-49F0-9D8C-0E7B2D374F10}"/>
              </c:ext>
            </c:extLst>
          </c:dPt>
          <c:cat>
            <c:strLit>
              <c:ptCount val="6"/>
              <c:pt idx="0">
                <c:v>Datenschutz</c:v>
              </c:pt>
              <c:pt idx="1">
                <c:v>Geheimnisse</c:v>
              </c:pt>
              <c:pt idx="2">
                <c:v>IP</c:v>
              </c:pt>
              <c:pt idx="3">
                <c:v>Allgemein</c:v>
              </c:pt>
              <c:pt idx="4">
                <c:v>Qualität</c:v>
              </c:pt>
              <c:pt idx="5">
                <c:v>Ethik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D'!$AY$206:$BI$206</c15:sqref>
                  </c15:fullRef>
                </c:ext>
              </c:extLst>
              <c:f>('GAIRA Comprehensive D'!$AY$206,'GAIRA Comprehensive D'!$BA$206,'GAIRA Comprehensive D'!$BC$206,'GAIRA Comprehensive D'!$BE$206,'GAIRA Comprehensive D'!$BG$206,'GAIRA Comprehensive D'!$BI$206)</c:f>
              <c:numCache>
                <c:formatCode>General</c:formatCode>
                <c:ptCount val="6"/>
                <c:pt idx="0" formatCode="0%">
                  <c:v>0</c:v>
                </c:pt>
                <c:pt idx="1" formatCode="0%">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5-500A-49F0-9D8C-0E7B2D374F10}"/>
            </c:ext>
          </c:extLst>
        </c:ser>
        <c:dLbls>
          <c:showLegendKey val="0"/>
          <c:showVal val="0"/>
          <c:showCatName val="0"/>
          <c:showSerName val="0"/>
          <c:showPercent val="0"/>
          <c:showBubbleSize val="0"/>
        </c:dLbls>
        <c:axId val="547240160"/>
        <c:axId val="30518415"/>
      </c:radarChart>
      <c:catAx>
        <c:axId val="54724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30518415"/>
        <c:crosses val="autoZero"/>
        <c:auto val="1"/>
        <c:lblAlgn val="ctr"/>
        <c:lblOffset val="100"/>
        <c:noMultiLvlLbl val="0"/>
      </c:catAx>
      <c:valAx>
        <c:axId val="30518415"/>
        <c:scaling>
          <c:orientation val="minMax"/>
          <c:max val="1"/>
        </c:scaling>
        <c:delete val="1"/>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crossAx val="54724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Radio" firstButton="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vischerlnk.com/gaira"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5" Type="http://schemas.openxmlformats.org/officeDocument/2006/relationships/image" Target="../media/image36.png"/><Relationship Id="rId4" Type="http://schemas.openxmlformats.org/officeDocument/2006/relationships/hyperlink" Target="https://vischerlnk.com/ai-act-uc"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5" Type="http://schemas.openxmlformats.org/officeDocument/2006/relationships/image" Target="../media/image36.png"/><Relationship Id="rId4" Type="http://schemas.openxmlformats.org/officeDocument/2006/relationships/hyperlink" Target="https://vischerlnk.com/ai-act-uc"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19.png"/><Relationship Id="rId26" Type="http://schemas.openxmlformats.org/officeDocument/2006/relationships/image" Target="../media/image1.png"/><Relationship Id="rId3" Type="http://schemas.openxmlformats.org/officeDocument/2006/relationships/image" Target="../media/image5.png"/><Relationship Id="rId21" Type="http://schemas.openxmlformats.org/officeDocument/2006/relationships/image" Target="../media/image2.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hyperlink" Target="https://www.rosenthal.ch/downloads/VISCHER_AI-Risk-Check.pdf" TargetMode="External"/><Relationship Id="rId25" Type="http://schemas.openxmlformats.org/officeDocument/2006/relationships/image" Target="../media/image24.svg"/><Relationship Id="rId2" Type="http://schemas.openxmlformats.org/officeDocument/2006/relationships/image" Target="../media/image4.png"/><Relationship Id="rId16" Type="http://schemas.openxmlformats.org/officeDocument/2006/relationships/image" Target="../media/image18.svg"/><Relationship Id="rId20" Type="http://schemas.openxmlformats.org/officeDocument/2006/relationships/hyperlink" Target="https://vischerlnk.com/gaira" TargetMode="External"/><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24" Type="http://schemas.openxmlformats.org/officeDocument/2006/relationships/image" Target="../media/image23.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2.svg"/><Relationship Id="rId10" Type="http://schemas.openxmlformats.org/officeDocument/2006/relationships/image" Target="../media/image12.svg"/><Relationship Id="rId19" Type="http://schemas.openxmlformats.org/officeDocument/2006/relationships/image" Target="../media/image20.sv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 Id="rId22" Type="http://schemas.openxmlformats.org/officeDocument/2006/relationships/image" Target="../media/image21.png"/><Relationship Id="rId27"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19.png"/><Relationship Id="rId26" Type="http://schemas.openxmlformats.org/officeDocument/2006/relationships/image" Target="../media/image1.png"/><Relationship Id="rId3" Type="http://schemas.openxmlformats.org/officeDocument/2006/relationships/image" Target="../media/image5.png"/><Relationship Id="rId21" Type="http://schemas.openxmlformats.org/officeDocument/2006/relationships/image" Target="../media/image2.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hyperlink" Target="https://www.rosenthal.ch/downloads/VISCHER_AI-Risk-Check.pdf" TargetMode="External"/><Relationship Id="rId25" Type="http://schemas.openxmlformats.org/officeDocument/2006/relationships/image" Target="../media/image24.svg"/><Relationship Id="rId2" Type="http://schemas.openxmlformats.org/officeDocument/2006/relationships/image" Target="../media/image4.png"/><Relationship Id="rId16" Type="http://schemas.openxmlformats.org/officeDocument/2006/relationships/image" Target="../media/image18.svg"/><Relationship Id="rId20" Type="http://schemas.openxmlformats.org/officeDocument/2006/relationships/hyperlink" Target="https://vischerlnk.com/gaira" TargetMode="External"/><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24" Type="http://schemas.openxmlformats.org/officeDocument/2006/relationships/image" Target="../media/image23.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2.svg"/><Relationship Id="rId10" Type="http://schemas.openxmlformats.org/officeDocument/2006/relationships/image" Target="../media/image12.svg"/><Relationship Id="rId19" Type="http://schemas.openxmlformats.org/officeDocument/2006/relationships/image" Target="../media/image20.sv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 Id="rId22" Type="http://schemas.openxmlformats.org/officeDocument/2006/relationships/image" Target="../media/image21.png"/><Relationship Id="rId27"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image" Target="../media/image2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hyperlink" Target="#'GAIRA Compliance Check'!A1"/></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30.png"/><Relationship Id="rId4" Type="http://schemas.openxmlformats.org/officeDocument/2006/relationships/image" Target="../media/image29.png"/></Relationships>
</file>

<file path=xl/drawings/_rels/drawing6.xml.rels><?xml version="1.0" encoding="UTF-8" standalone="yes"?>
<Relationships xmlns="http://schemas.openxmlformats.org/package/2006/relationships"><Relationship Id="rId3" Type="http://schemas.openxmlformats.org/officeDocument/2006/relationships/hyperlink" Target="https://vischerlnk.com/gaira" TargetMode="External"/><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https://vischerlnk.com/gaira" TargetMode="External"/><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640616</xdr:colOff>
      <xdr:row>38</xdr:row>
      <xdr:rowOff>160795</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6187976" cy="8939035"/>
        </a:xfrm>
        <a:prstGeom prst="rect">
          <a:avLst/>
        </a:prstGeom>
      </xdr:spPr>
    </xdr:pic>
    <xdr:clientData/>
  </xdr:twoCellAnchor>
  <xdr:twoCellAnchor>
    <xdr:from>
      <xdr:col>7</xdr:col>
      <xdr:colOff>708660</xdr:colOff>
      <xdr:row>6</xdr:row>
      <xdr:rowOff>137160</xdr:rowOff>
    </xdr:from>
    <xdr:to>
      <xdr:col>7</xdr:col>
      <xdr:colOff>883920</xdr:colOff>
      <xdr:row>6</xdr:row>
      <xdr:rowOff>396240</xdr:rowOff>
    </xdr:to>
    <xdr:sp macro="" textlink="">
      <xdr:nvSpPr>
        <xdr:cNvPr id="2" name="Pfeil: nach rechts 1">
          <a:extLst>
            <a:ext uri="{FF2B5EF4-FFF2-40B4-BE49-F238E27FC236}">
              <a16:creationId xmlns:a16="http://schemas.microsoft.com/office/drawing/2014/main" id="{00000000-0008-0000-0000-000002000000}"/>
            </a:ext>
          </a:extLst>
        </xdr:cNvPr>
        <xdr:cNvSpPr/>
      </xdr:nvSpPr>
      <xdr:spPr>
        <a:xfrm rot="10800000">
          <a:off x="6256020" y="1234440"/>
          <a:ext cx="175260" cy="259080"/>
        </a:xfrm>
        <a:prstGeom prst="rightArrow">
          <a:avLst/>
        </a:prstGeom>
        <a:solidFill>
          <a:srgbClr val="2E5E58"/>
        </a:solidFill>
        <a:ln>
          <a:solidFill>
            <a:srgbClr val="2E5E5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906780</xdr:colOff>
      <xdr:row>19</xdr:row>
      <xdr:rowOff>38100</xdr:rowOff>
    </xdr:from>
    <xdr:to>
      <xdr:col>8</xdr:col>
      <xdr:colOff>910003</xdr:colOff>
      <xdr:row>24</xdr:row>
      <xdr:rowOff>121029</xdr:rowOff>
    </xdr:to>
    <xdr:pic>
      <xdr:nvPicPr>
        <xdr:cNvPr id="3" name="Grafik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6454140" y="5158740"/>
          <a:ext cx="978583" cy="9973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166771</xdr:colOff>
      <xdr:row>25</xdr:row>
      <xdr:rowOff>35169</xdr:rowOff>
    </xdr:from>
    <xdr:to>
      <xdr:col>15</xdr:col>
      <xdr:colOff>122245</xdr:colOff>
      <xdr:row>26</xdr:row>
      <xdr:rowOff>137450</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34331" y="4683369"/>
          <a:ext cx="976554" cy="422321"/>
        </a:xfrm>
        <a:prstGeom prst="rect">
          <a:avLst/>
        </a:prstGeom>
      </xdr:spPr>
    </xdr:pic>
    <xdr:clientData/>
  </xdr:twoCellAnchor>
  <xdr:twoCellAnchor editAs="oneCell">
    <xdr:from>
      <xdr:col>14</xdr:col>
      <xdr:colOff>489951</xdr:colOff>
      <xdr:row>27</xdr:row>
      <xdr:rowOff>25100</xdr:rowOff>
    </xdr:from>
    <xdr:to>
      <xdr:col>15</xdr:col>
      <xdr:colOff>13569</xdr:colOff>
      <xdr:row>27</xdr:row>
      <xdr:rowOff>298937</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5257511" y="5221940"/>
          <a:ext cx="544698" cy="273837"/>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1546860</xdr:colOff>
      <xdr:row>4</xdr:row>
      <xdr:rowOff>929640</xdr:rowOff>
    </xdr:from>
    <xdr:to>
      <xdr:col>4</xdr:col>
      <xdr:colOff>1790700</xdr:colOff>
      <xdr:row>5</xdr:row>
      <xdr:rowOff>152400</xdr:rowOff>
    </xdr:to>
    <xdr:sp macro="" textlink="">
      <xdr:nvSpPr>
        <xdr:cNvPr id="2" name="Pfeil: nach unten 1">
          <a:extLst>
            <a:ext uri="{FF2B5EF4-FFF2-40B4-BE49-F238E27FC236}">
              <a16:creationId xmlns:a16="http://schemas.microsoft.com/office/drawing/2014/main" id="{00000000-0008-0000-0A00-000002000000}"/>
            </a:ext>
          </a:extLst>
        </xdr:cNvPr>
        <xdr:cNvSpPr/>
      </xdr:nvSpPr>
      <xdr:spPr>
        <a:xfrm>
          <a:off x="4777740" y="1760220"/>
          <a:ext cx="243840" cy="220980"/>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2164080</xdr:colOff>
      <xdr:row>4</xdr:row>
      <xdr:rowOff>952500</xdr:rowOff>
    </xdr:from>
    <xdr:to>
      <xdr:col>5</xdr:col>
      <xdr:colOff>2407920</xdr:colOff>
      <xdr:row>5</xdr:row>
      <xdr:rowOff>175260</xdr:rowOff>
    </xdr:to>
    <xdr:sp macro="" textlink="">
      <xdr:nvSpPr>
        <xdr:cNvPr id="3" name="Pfeil: nach unten 2">
          <a:extLst>
            <a:ext uri="{FF2B5EF4-FFF2-40B4-BE49-F238E27FC236}">
              <a16:creationId xmlns:a16="http://schemas.microsoft.com/office/drawing/2014/main" id="{00000000-0008-0000-0A00-000003000000}"/>
            </a:ext>
          </a:extLst>
        </xdr:cNvPr>
        <xdr:cNvSpPr/>
      </xdr:nvSpPr>
      <xdr:spPr>
        <a:xfrm>
          <a:off x="9075420" y="1783080"/>
          <a:ext cx="243840" cy="220980"/>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4</xdr:row>
      <xdr:rowOff>1</xdr:rowOff>
    </xdr:from>
    <xdr:to>
      <xdr:col>19</xdr:col>
      <xdr:colOff>558800</xdr:colOff>
      <xdr:row>12</xdr:row>
      <xdr:rowOff>878909</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2903200" y="838201"/>
          <a:ext cx="10312400" cy="7147628"/>
        </a:xfrm>
        <a:prstGeom prst="rect">
          <a:avLst/>
        </a:prstGeom>
      </xdr:spPr>
    </xdr:pic>
    <xdr:clientData/>
  </xdr:twoCellAnchor>
  <xdr:twoCellAnchor editAs="oneCell">
    <xdr:from>
      <xdr:col>6</xdr:col>
      <xdr:colOff>998220</xdr:colOff>
      <xdr:row>12</xdr:row>
      <xdr:rowOff>1043940</xdr:rowOff>
    </xdr:from>
    <xdr:to>
      <xdr:col>16</xdr:col>
      <xdr:colOff>736600</xdr:colOff>
      <xdr:row>20</xdr:row>
      <xdr:rowOff>525944</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2473940" y="8130540"/>
          <a:ext cx="7975600" cy="6980084"/>
        </a:xfrm>
        <a:prstGeom prst="rect">
          <a:avLst/>
        </a:prstGeom>
      </xdr:spPr>
    </xdr:pic>
    <xdr:clientData/>
  </xdr:twoCellAnchor>
  <xdr:twoCellAnchor>
    <xdr:from>
      <xdr:col>6</xdr:col>
      <xdr:colOff>250278</xdr:colOff>
      <xdr:row>4</xdr:row>
      <xdr:rowOff>299567</xdr:rowOff>
    </xdr:from>
    <xdr:to>
      <xdr:col>6</xdr:col>
      <xdr:colOff>938816</xdr:colOff>
      <xdr:row>4</xdr:row>
      <xdr:rowOff>543407</xdr:rowOff>
    </xdr:to>
    <xdr:sp macro="" textlink="">
      <xdr:nvSpPr>
        <xdr:cNvPr id="6" name="Pfeil: nach unten 2">
          <a:extLst>
            <a:ext uri="{FF2B5EF4-FFF2-40B4-BE49-F238E27FC236}">
              <a16:creationId xmlns:a16="http://schemas.microsoft.com/office/drawing/2014/main" id="{00000000-0008-0000-0A00-000006000000}"/>
            </a:ext>
          </a:extLst>
        </xdr:cNvPr>
        <xdr:cNvSpPr/>
      </xdr:nvSpPr>
      <xdr:spPr>
        <a:xfrm rot="17035478">
          <a:off x="12162149" y="911001"/>
          <a:ext cx="243840" cy="688538"/>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1129839</xdr:colOff>
      <xdr:row>20</xdr:row>
      <xdr:rowOff>729442</xdr:rowOff>
    </xdr:from>
    <xdr:to>
      <xdr:col>20</xdr:col>
      <xdr:colOff>63039</xdr:colOff>
      <xdr:row>21</xdr:row>
      <xdr:rowOff>1369042</xdr:rowOff>
    </xdr:to>
    <xdr:pic>
      <xdr:nvPicPr>
        <xdr:cNvPr id="8" name="Grafi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stretch>
          <a:fillRect/>
        </a:stretch>
      </xdr:blipFill>
      <xdr:spPr>
        <a:xfrm>
          <a:off x="13855239" y="15588442"/>
          <a:ext cx="10267950" cy="2658900"/>
        </a:xfrm>
        <a:prstGeom prst="rect">
          <a:avLst/>
        </a:prstGeom>
      </xdr:spPr>
    </xdr:pic>
    <xdr:clientData/>
  </xdr:twoCellAnchor>
  <xdr:twoCellAnchor editAs="oneCell">
    <xdr:from>
      <xdr:col>7</xdr:col>
      <xdr:colOff>408634</xdr:colOff>
      <xdr:row>22</xdr:row>
      <xdr:rowOff>35386</xdr:rowOff>
    </xdr:from>
    <xdr:to>
      <xdr:col>18</xdr:col>
      <xdr:colOff>418370</xdr:colOff>
      <xdr:row>24</xdr:row>
      <xdr:rowOff>1772417</xdr:rowOff>
    </xdr:to>
    <xdr:pic>
      <xdr:nvPicPr>
        <xdr:cNvPr id="7" name="Grafik 6">
          <a:hlinkClick xmlns:r="http://schemas.openxmlformats.org/officeDocument/2006/relationships" r:id="rId4"/>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rot="21350368">
          <a:off x="14315134" y="18932986"/>
          <a:ext cx="8601286" cy="5775631"/>
        </a:xfrm>
        <a:prstGeom prst="rect">
          <a:avLst/>
        </a:prstGeom>
        <a:effectLst>
          <a:outerShdw blurRad="139700" dist="76200" dir="2700000" algn="tl" rotWithShape="0">
            <a:prstClr val="black">
              <a:alpha val="40000"/>
            </a:prstClr>
          </a:outerShdw>
        </a:effectLst>
      </xdr:spPr>
    </xdr:pic>
    <xdr:clientData/>
  </xdr:twoCellAnchor>
  <xdr:oneCellAnchor>
    <xdr:from>
      <xdr:col>9</xdr:col>
      <xdr:colOff>145912</xdr:colOff>
      <xdr:row>22</xdr:row>
      <xdr:rowOff>1518100</xdr:rowOff>
    </xdr:from>
    <xdr:ext cx="6300608" cy="2628220"/>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A00-000009000000}"/>
            </a:ext>
          </a:extLst>
        </xdr:cNvPr>
        <xdr:cNvSpPr/>
      </xdr:nvSpPr>
      <xdr:spPr>
        <a:xfrm>
          <a:off x="15614512" y="20415700"/>
          <a:ext cx="6300608" cy="2628220"/>
        </a:xfrm>
        <a:prstGeom prst="rect">
          <a:avLst/>
        </a:prstGeom>
        <a:noFill/>
      </xdr:spPr>
      <xdr:txBody>
        <a:bodyPr wrap="square" lIns="91440" tIns="45720" rIns="91440" bIns="45720">
          <a:spAutoFit/>
        </a:bodyPr>
        <a:lstStyle/>
        <a:p>
          <a:pPr algn="ctr"/>
          <a:r>
            <a:rPr lang="de-DE" sz="5400" b="1" cap="none" spc="50">
              <a:ln w="0"/>
              <a:solidFill>
                <a:schemeClr val="bg2"/>
              </a:solidFill>
              <a:effectLst>
                <a:innerShdw blurRad="63500" dist="50800" dir="13500000">
                  <a:srgbClr val="000000">
                    <a:alpha val="50000"/>
                  </a:srgbClr>
                </a:innerShdw>
              </a:effectLst>
            </a:rPr>
            <a:t>Download your copy of this one-page EU</a:t>
          </a:r>
          <a:r>
            <a:rPr lang="de-DE" sz="5400" b="1" cap="none" spc="50" baseline="0">
              <a:ln w="0"/>
              <a:solidFill>
                <a:schemeClr val="bg2"/>
              </a:solidFill>
              <a:effectLst>
                <a:innerShdw blurRad="63500" dist="50800" dir="13500000">
                  <a:srgbClr val="000000">
                    <a:alpha val="50000"/>
                  </a:srgbClr>
                </a:innerShdw>
              </a:effectLst>
            </a:rPr>
            <a:t> AI Act </a:t>
          </a:r>
          <a:r>
            <a:rPr lang="de-DE" sz="5400" b="1" cap="none" spc="50">
              <a:ln w="0"/>
              <a:solidFill>
                <a:schemeClr val="bg2"/>
              </a:solidFill>
              <a:effectLst>
                <a:innerShdw blurRad="63500" dist="50800" dir="13500000">
                  <a:srgbClr val="000000">
                    <a:alpha val="50000"/>
                  </a:srgbClr>
                </a:innerShdw>
              </a:effectLst>
            </a:rPr>
            <a:t>overview</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4</xdr:col>
      <xdr:colOff>1546860</xdr:colOff>
      <xdr:row>4</xdr:row>
      <xdr:rowOff>929640</xdr:rowOff>
    </xdr:from>
    <xdr:to>
      <xdr:col>4</xdr:col>
      <xdr:colOff>1790700</xdr:colOff>
      <xdr:row>5</xdr:row>
      <xdr:rowOff>152400</xdr:rowOff>
    </xdr:to>
    <xdr:sp macro="" textlink="">
      <xdr:nvSpPr>
        <xdr:cNvPr id="2" name="Pfeil: nach unten 1">
          <a:extLst>
            <a:ext uri="{FF2B5EF4-FFF2-40B4-BE49-F238E27FC236}">
              <a16:creationId xmlns:a16="http://schemas.microsoft.com/office/drawing/2014/main" id="{00000000-0008-0000-0B00-000002000000}"/>
            </a:ext>
          </a:extLst>
        </xdr:cNvPr>
        <xdr:cNvSpPr/>
      </xdr:nvSpPr>
      <xdr:spPr>
        <a:xfrm>
          <a:off x="6035040" y="2011680"/>
          <a:ext cx="243840" cy="220980"/>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2164080</xdr:colOff>
      <xdr:row>4</xdr:row>
      <xdr:rowOff>952500</xdr:rowOff>
    </xdr:from>
    <xdr:to>
      <xdr:col>5</xdr:col>
      <xdr:colOff>2407920</xdr:colOff>
      <xdr:row>5</xdr:row>
      <xdr:rowOff>175260</xdr:rowOff>
    </xdr:to>
    <xdr:sp macro="" textlink="">
      <xdr:nvSpPr>
        <xdr:cNvPr id="3" name="Pfeil: nach unten 2">
          <a:extLst>
            <a:ext uri="{FF2B5EF4-FFF2-40B4-BE49-F238E27FC236}">
              <a16:creationId xmlns:a16="http://schemas.microsoft.com/office/drawing/2014/main" id="{00000000-0008-0000-0B00-000003000000}"/>
            </a:ext>
          </a:extLst>
        </xdr:cNvPr>
        <xdr:cNvSpPr/>
      </xdr:nvSpPr>
      <xdr:spPr>
        <a:xfrm>
          <a:off x="10332720" y="2034540"/>
          <a:ext cx="243840" cy="220980"/>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4</xdr:row>
      <xdr:rowOff>1</xdr:rowOff>
    </xdr:from>
    <xdr:to>
      <xdr:col>19</xdr:col>
      <xdr:colOff>558800</xdr:colOff>
      <xdr:row>11</xdr:row>
      <xdr:rowOff>1419929</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3914120" y="1082041"/>
          <a:ext cx="9977120" cy="7134928"/>
        </a:xfrm>
        <a:prstGeom prst="rect">
          <a:avLst/>
        </a:prstGeom>
      </xdr:spPr>
    </xdr:pic>
    <xdr:clientData/>
  </xdr:twoCellAnchor>
  <xdr:twoCellAnchor editAs="oneCell">
    <xdr:from>
      <xdr:col>6</xdr:col>
      <xdr:colOff>1012074</xdr:colOff>
      <xdr:row>11</xdr:row>
      <xdr:rowOff>1708958</xdr:rowOff>
    </xdr:from>
    <xdr:to>
      <xdr:col>16</xdr:col>
      <xdr:colOff>750454</xdr:colOff>
      <xdr:row>19</xdr:row>
      <xdr:rowOff>459442</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14173892" y="8691649"/>
          <a:ext cx="8023398" cy="6980084"/>
        </a:xfrm>
        <a:prstGeom prst="rect">
          <a:avLst/>
        </a:prstGeom>
      </xdr:spPr>
    </xdr:pic>
    <xdr:clientData/>
  </xdr:twoCellAnchor>
  <xdr:twoCellAnchor>
    <xdr:from>
      <xdr:col>6</xdr:col>
      <xdr:colOff>250278</xdr:colOff>
      <xdr:row>4</xdr:row>
      <xdr:rowOff>299567</xdr:rowOff>
    </xdr:from>
    <xdr:to>
      <xdr:col>6</xdr:col>
      <xdr:colOff>938816</xdr:colOff>
      <xdr:row>4</xdr:row>
      <xdr:rowOff>543407</xdr:rowOff>
    </xdr:to>
    <xdr:sp macro="" textlink="">
      <xdr:nvSpPr>
        <xdr:cNvPr id="6" name="Pfeil: nach unten 2">
          <a:extLst>
            <a:ext uri="{FF2B5EF4-FFF2-40B4-BE49-F238E27FC236}">
              <a16:creationId xmlns:a16="http://schemas.microsoft.com/office/drawing/2014/main" id="{00000000-0008-0000-0B00-000006000000}"/>
            </a:ext>
          </a:extLst>
        </xdr:cNvPr>
        <xdr:cNvSpPr/>
      </xdr:nvSpPr>
      <xdr:spPr>
        <a:xfrm rot="17035478">
          <a:off x="13213267" y="1159258"/>
          <a:ext cx="243840" cy="688538"/>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1074420</xdr:colOff>
      <xdr:row>19</xdr:row>
      <xdr:rowOff>1048096</xdr:rowOff>
    </xdr:from>
    <xdr:to>
      <xdr:col>20</xdr:col>
      <xdr:colOff>7620</xdr:colOff>
      <xdr:row>20</xdr:row>
      <xdr:rowOff>957349</xdr:rowOff>
    </xdr:to>
    <xdr:pic>
      <xdr:nvPicPr>
        <xdr:cNvPr id="7" name="Grafik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stretch>
          <a:fillRect/>
        </a:stretch>
      </xdr:blipFill>
      <xdr:spPr>
        <a:xfrm>
          <a:off x="14236238" y="16260387"/>
          <a:ext cx="10377055" cy="2652453"/>
        </a:xfrm>
        <a:prstGeom prst="rect">
          <a:avLst/>
        </a:prstGeom>
      </xdr:spPr>
    </xdr:pic>
    <xdr:clientData/>
  </xdr:twoCellAnchor>
  <xdr:twoCellAnchor editAs="oneCell">
    <xdr:from>
      <xdr:col>7</xdr:col>
      <xdr:colOff>422489</xdr:colOff>
      <xdr:row>20</xdr:row>
      <xdr:rowOff>2243453</xdr:rowOff>
    </xdr:from>
    <xdr:to>
      <xdr:col>18</xdr:col>
      <xdr:colOff>432225</xdr:colOff>
      <xdr:row>22</xdr:row>
      <xdr:rowOff>2514832</xdr:rowOff>
    </xdr:to>
    <xdr:pic>
      <xdr:nvPicPr>
        <xdr:cNvPr id="8" name="Grafik 7">
          <a:hlinkClick xmlns:r="http://schemas.openxmlformats.org/officeDocument/2006/relationships" r:id="rId4"/>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5"/>
        <a:stretch>
          <a:fillRect/>
        </a:stretch>
      </xdr:blipFill>
      <xdr:spPr>
        <a:xfrm rot="21350368">
          <a:off x="14761944" y="20198944"/>
          <a:ext cx="8696536" cy="5757779"/>
        </a:xfrm>
        <a:prstGeom prst="rect">
          <a:avLst/>
        </a:prstGeom>
        <a:effectLst>
          <a:outerShdw blurRad="139700" dist="76200" dir="2700000" algn="tl" rotWithShape="0">
            <a:prstClr val="black">
              <a:alpha val="40000"/>
            </a:prstClr>
          </a:outerShdw>
        </a:effectLst>
      </xdr:spPr>
    </xdr:pic>
    <xdr:clientData/>
  </xdr:twoCellAnchor>
  <xdr:oneCellAnchor>
    <xdr:from>
      <xdr:col>8</xdr:col>
      <xdr:colOff>710485</xdr:colOff>
      <xdr:row>21</xdr:row>
      <xdr:rowOff>989549</xdr:rowOff>
    </xdr:from>
    <xdr:ext cx="6300608" cy="2628220"/>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B00-000009000000}"/>
            </a:ext>
          </a:extLst>
        </xdr:cNvPr>
        <xdr:cNvSpPr/>
      </xdr:nvSpPr>
      <xdr:spPr>
        <a:xfrm>
          <a:off x="15839649" y="21688240"/>
          <a:ext cx="6300608" cy="2628220"/>
        </a:xfrm>
        <a:prstGeom prst="rect">
          <a:avLst/>
        </a:prstGeom>
        <a:noFill/>
      </xdr:spPr>
      <xdr:txBody>
        <a:bodyPr wrap="square" lIns="91440" tIns="45720" rIns="91440" bIns="45720">
          <a:spAutoFit/>
        </a:bodyPr>
        <a:lstStyle/>
        <a:p>
          <a:pPr algn="ctr"/>
          <a:r>
            <a:rPr lang="de-DE" sz="5400" b="1" cap="none" spc="50">
              <a:ln w="0"/>
              <a:solidFill>
                <a:schemeClr val="bg2"/>
              </a:solidFill>
              <a:effectLst>
                <a:innerShdw blurRad="63500" dist="50800" dir="13500000">
                  <a:srgbClr val="000000">
                    <a:alpha val="50000"/>
                  </a:srgbClr>
                </a:innerShdw>
              </a:effectLst>
            </a:rPr>
            <a:t>Download your copy of this one-page EU</a:t>
          </a:r>
          <a:r>
            <a:rPr lang="de-DE" sz="5400" b="1" cap="none" spc="50" baseline="0">
              <a:ln w="0"/>
              <a:solidFill>
                <a:schemeClr val="bg2"/>
              </a:solidFill>
              <a:effectLst>
                <a:innerShdw blurRad="63500" dist="50800" dir="13500000">
                  <a:srgbClr val="000000">
                    <a:alpha val="50000"/>
                  </a:srgbClr>
                </a:innerShdw>
              </a:effectLst>
            </a:rPr>
            <a:t> AI Act </a:t>
          </a:r>
          <a:r>
            <a:rPr lang="de-DE" sz="5400" b="1" cap="none" spc="50">
              <a:ln w="0"/>
              <a:solidFill>
                <a:schemeClr val="bg2"/>
              </a:solidFill>
              <a:effectLst>
                <a:innerShdw blurRad="63500" dist="50800" dir="13500000">
                  <a:srgbClr val="000000">
                    <a:alpha val="50000"/>
                  </a:srgbClr>
                </a:innerShdw>
              </a:effectLst>
            </a:rPr>
            <a:t>overview</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129502</xdr:colOff>
      <xdr:row>248</xdr:row>
      <xdr:rowOff>72642</xdr:rowOff>
    </xdr:from>
    <xdr:to>
      <xdr:col>11</xdr:col>
      <xdr:colOff>117516</xdr:colOff>
      <xdr:row>250</xdr:row>
      <xdr:rowOff>23179</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53640" y="30400242"/>
          <a:ext cx="1175683" cy="523348"/>
        </a:xfrm>
        <a:prstGeom prst="rect">
          <a:avLst/>
        </a:prstGeom>
      </xdr:spPr>
    </xdr:pic>
    <xdr:clientData/>
  </xdr:twoCellAnchor>
  <xdr:twoCellAnchor editAs="oneCell">
    <xdr:from>
      <xdr:col>9</xdr:col>
      <xdr:colOff>0</xdr:colOff>
      <xdr:row>250</xdr:row>
      <xdr:rowOff>0</xdr:rowOff>
    </xdr:from>
    <xdr:to>
      <xdr:col>9</xdr:col>
      <xdr:colOff>304800</xdr:colOff>
      <xdr:row>250</xdr:row>
      <xdr:rowOff>304800</xdr:rowOff>
    </xdr:to>
    <xdr:sp macro="" textlink="">
      <xdr:nvSpPr>
        <xdr:cNvPr id="6" name="AutoShape 5">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10995660" y="1108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220063</xdr:colOff>
      <xdr:row>250</xdr:row>
      <xdr:rowOff>94365</xdr:rowOff>
    </xdr:from>
    <xdr:to>
      <xdr:col>11</xdr:col>
      <xdr:colOff>11605</xdr:colOff>
      <xdr:row>250</xdr:row>
      <xdr:rowOff>435951</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11868724" y="29123252"/>
          <a:ext cx="977612" cy="341586"/>
        </a:xfrm>
        <a:prstGeom prst="rect">
          <a:avLst/>
        </a:prstGeom>
        <a:ln>
          <a:noFill/>
        </a:ln>
      </xdr:spPr>
    </xdr:pic>
    <xdr:clientData/>
  </xdr:twoCellAnchor>
  <xdr:oneCellAnchor>
    <xdr:from>
      <xdr:col>6</xdr:col>
      <xdr:colOff>146538</xdr:colOff>
      <xdr:row>11</xdr:row>
      <xdr:rowOff>70339</xdr:rowOff>
    </xdr:from>
    <xdr:ext cx="1412631" cy="640240"/>
    <xdr:sp macro="" textlink="">
      <xdr:nvSpPr>
        <xdr:cNvPr id="11" name="Textfeld 10">
          <a:extLst>
            <a:ext uri="{FF2B5EF4-FFF2-40B4-BE49-F238E27FC236}">
              <a16:creationId xmlns:a16="http://schemas.microsoft.com/office/drawing/2014/main" id="{00000000-0008-0000-0100-00000B000000}"/>
            </a:ext>
          </a:extLst>
        </xdr:cNvPr>
        <xdr:cNvSpPr txBox="1"/>
      </xdr:nvSpPr>
      <xdr:spPr>
        <a:xfrm>
          <a:off x="9472246" y="2854570"/>
          <a:ext cx="1412631"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This is used to narrow down what you</a:t>
          </a:r>
          <a:r>
            <a:rPr lang="en-US" sz="700" baseline="0"/>
            <a:t> are looking at (e.g., you can "carve-out" the infrastructure, if you are just looking at the app running on top of it)</a:t>
          </a:r>
          <a:endParaRPr lang="en-US" sz="700"/>
        </a:p>
      </xdr:txBody>
    </xdr:sp>
    <xdr:clientData/>
  </xdr:oneCellAnchor>
  <xdr:twoCellAnchor>
    <xdr:from>
      <xdr:col>6</xdr:col>
      <xdr:colOff>123091</xdr:colOff>
      <xdr:row>11</xdr:row>
      <xdr:rowOff>164125</xdr:rowOff>
    </xdr:from>
    <xdr:to>
      <xdr:col>6</xdr:col>
      <xdr:colOff>181707</xdr:colOff>
      <xdr:row>14</xdr:row>
      <xdr:rowOff>35170</xdr:rowOff>
    </xdr:to>
    <xdr:sp macro="" textlink="">
      <xdr:nvSpPr>
        <xdr:cNvPr id="12" name="Geschweifte Klammer rechts 11">
          <a:extLst>
            <a:ext uri="{FF2B5EF4-FFF2-40B4-BE49-F238E27FC236}">
              <a16:creationId xmlns:a16="http://schemas.microsoft.com/office/drawing/2014/main" id="{00000000-0008-0000-0100-00000C000000}"/>
            </a:ext>
          </a:extLst>
        </xdr:cNvPr>
        <xdr:cNvSpPr/>
      </xdr:nvSpPr>
      <xdr:spPr>
        <a:xfrm>
          <a:off x="9448799" y="2948356"/>
          <a:ext cx="58616" cy="445476"/>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12</xdr:col>
      <xdr:colOff>83885</xdr:colOff>
      <xdr:row>4</xdr:row>
      <xdr:rowOff>57630</xdr:rowOff>
    </xdr:from>
    <xdr:to>
      <xdr:col>12</xdr:col>
      <xdr:colOff>498230</xdr:colOff>
      <xdr:row>6</xdr:row>
      <xdr:rowOff>112942</xdr:rowOff>
    </xdr:to>
    <xdr:pic>
      <xdr:nvPicPr>
        <xdr:cNvPr id="3" name="Grafik 2" descr="Mitarbeitendenausweis mit einfarbiger Füllu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432332" y="1509912"/>
          <a:ext cx="414345" cy="413901"/>
        </a:xfrm>
        <a:prstGeom prst="rect">
          <a:avLst/>
        </a:prstGeom>
      </xdr:spPr>
    </xdr:pic>
    <xdr:clientData/>
  </xdr:twoCellAnchor>
  <xdr:twoCellAnchor editAs="oneCell">
    <xdr:from>
      <xdr:col>12</xdr:col>
      <xdr:colOff>86608</xdr:colOff>
      <xdr:row>218</xdr:row>
      <xdr:rowOff>36021</xdr:rowOff>
    </xdr:from>
    <xdr:to>
      <xdr:col>12</xdr:col>
      <xdr:colOff>500953</xdr:colOff>
      <xdr:row>220</xdr:row>
      <xdr:rowOff>87780</xdr:rowOff>
    </xdr:to>
    <xdr:pic>
      <xdr:nvPicPr>
        <xdr:cNvPr id="8" name="Grafik 7" descr="Diplomrolle mit einfarbiger Füllun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435055" y="25531645"/>
          <a:ext cx="414345" cy="410347"/>
        </a:xfrm>
        <a:prstGeom prst="rect">
          <a:avLst/>
        </a:prstGeom>
      </xdr:spPr>
    </xdr:pic>
    <xdr:clientData/>
  </xdr:twoCellAnchor>
  <xdr:twoCellAnchor editAs="oneCell">
    <xdr:from>
      <xdr:col>12</xdr:col>
      <xdr:colOff>102579</xdr:colOff>
      <xdr:row>124</xdr:row>
      <xdr:rowOff>101644</xdr:rowOff>
    </xdr:from>
    <xdr:to>
      <xdr:col>12</xdr:col>
      <xdr:colOff>516924</xdr:colOff>
      <xdr:row>126</xdr:row>
      <xdr:rowOff>92404</xdr:rowOff>
    </xdr:to>
    <xdr:pic>
      <xdr:nvPicPr>
        <xdr:cNvPr id="10" name="Grafik 9" descr="Gesundheit und Sicherheit mit einfarbiger Füllung">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619287" y="20511521"/>
          <a:ext cx="414345" cy="412789"/>
        </a:xfrm>
        <a:prstGeom prst="rect">
          <a:avLst/>
        </a:prstGeom>
      </xdr:spPr>
    </xdr:pic>
    <xdr:clientData/>
  </xdr:twoCellAnchor>
  <xdr:twoCellAnchor editAs="oneCell">
    <xdr:from>
      <xdr:col>12</xdr:col>
      <xdr:colOff>89894</xdr:colOff>
      <xdr:row>84</xdr:row>
      <xdr:rowOff>99942</xdr:rowOff>
    </xdr:from>
    <xdr:to>
      <xdr:col>12</xdr:col>
      <xdr:colOff>500246</xdr:colOff>
      <xdr:row>86</xdr:row>
      <xdr:rowOff>74863</xdr:rowOff>
    </xdr:to>
    <xdr:pic>
      <xdr:nvPicPr>
        <xdr:cNvPr id="18" name="Grafik 17" descr="Handabdruck mit einfarbiger Füllun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3612463" y="11799573"/>
          <a:ext cx="410352" cy="396954"/>
        </a:xfrm>
        <a:prstGeom prst="rect">
          <a:avLst/>
        </a:prstGeom>
      </xdr:spPr>
    </xdr:pic>
    <xdr:clientData/>
  </xdr:twoCellAnchor>
  <xdr:twoCellAnchor editAs="oneCell">
    <xdr:from>
      <xdr:col>12</xdr:col>
      <xdr:colOff>101938</xdr:colOff>
      <xdr:row>103</xdr:row>
      <xdr:rowOff>112776</xdr:rowOff>
    </xdr:from>
    <xdr:to>
      <xdr:col>12</xdr:col>
      <xdr:colOff>472097</xdr:colOff>
      <xdr:row>105</xdr:row>
      <xdr:rowOff>71338</xdr:rowOff>
    </xdr:to>
    <xdr:pic>
      <xdr:nvPicPr>
        <xdr:cNvPr id="22" name="Grafik 21" descr="Fragen mit einfarbiger Füllung">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632881" y="16855005"/>
          <a:ext cx="370159" cy="393989"/>
        </a:xfrm>
        <a:prstGeom prst="rect">
          <a:avLst/>
        </a:prstGeom>
      </xdr:spPr>
    </xdr:pic>
    <xdr:clientData/>
  </xdr:twoCellAnchor>
  <xdr:twoCellAnchor editAs="oneCell">
    <xdr:from>
      <xdr:col>12</xdr:col>
      <xdr:colOff>28658</xdr:colOff>
      <xdr:row>19</xdr:row>
      <xdr:rowOff>109338</xdr:rowOff>
    </xdr:from>
    <xdr:to>
      <xdr:col>12</xdr:col>
      <xdr:colOff>518613</xdr:colOff>
      <xdr:row>20</xdr:row>
      <xdr:rowOff>402070</xdr:rowOff>
    </xdr:to>
    <xdr:pic>
      <xdr:nvPicPr>
        <xdr:cNvPr id="24" name="Grafik 23" descr="Playbook mit einfarbiger Füllung">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3377105" y="4815809"/>
          <a:ext cx="489955" cy="489955"/>
        </a:xfrm>
        <a:prstGeom prst="rect">
          <a:avLst/>
        </a:prstGeom>
      </xdr:spPr>
    </xdr:pic>
    <xdr:clientData/>
  </xdr:twoCellAnchor>
  <xdr:twoCellAnchor editAs="oneCell">
    <xdr:from>
      <xdr:col>12</xdr:col>
      <xdr:colOff>107577</xdr:colOff>
      <xdr:row>225</xdr:row>
      <xdr:rowOff>89647</xdr:rowOff>
    </xdr:from>
    <xdr:to>
      <xdr:col>12</xdr:col>
      <xdr:colOff>493059</xdr:colOff>
      <xdr:row>227</xdr:row>
      <xdr:rowOff>116543</xdr:rowOff>
    </xdr:to>
    <xdr:pic>
      <xdr:nvPicPr>
        <xdr:cNvPr id="28" name="Grafik 27" descr="Umschaltfläche mit einfarbiger Füllung">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3456024" y="26929976"/>
          <a:ext cx="385482" cy="385482"/>
        </a:xfrm>
        <a:prstGeom prst="rect">
          <a:avLst/>
        </a:prstGeom>
      </xdr:spPr>
    </xdr:pic>
    <xdr:clientData/>
  </xdr:twoCellAnchor>
  <xdr:oneCellAnchor>
    <xdr:from>
      <xdr:col>6</xdr:col>
      <xdr:colOff>528815</xdr:colOff>
      <xdr:row>8</xdr:row>
      <xdr:rowOff>65506</xdr:rowOff>
    </xdr:from>
    <xdr:ext cx="1446438" cy="311496"/>
    <xdr:sp macro="" textlink="">
      <xdr:nvSpPr>
        <xdr:cNvPr id="9" name="Textfeld 8">
          <a:hlinkClick xmlns:r="http://schemas.openxmlformats.org/officeDocument/2006/relationships" r:id="rId17"/>
          <a:extLst>
            <a:ext uri="{FF2B5EF4-FFF2-40B4-BE49-F238E27FC236}">
              <a16:creationId xmlns:a16="http://schemas.microsoft.com/office/drawing/2014/main" id="{00000000-0008-0000-0100-000009000000}"/>
            </a:ext>
          </a:extLst>
        </xdr:cNvPr>
        <xdr:cNvSpPr txBox="1"/>
      </xdr:nvSpPr>
      <xdr:spPr>
        <a:xfrm>
          <a:off x="10012449" y="2260066"/>
          <a:ext cx="144643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700"/>
            <a:t>All risk questions</a:t>
          </a:r>
          <a:r>
            <a:rPr lang="en-US" sz="700" baseline="0"/>
            <a:t> on one page </a:t>
          </a:r>
          <a:r>
            <a:rPr lang="en-US" sz="700"/>
            <a:t>(click on it to download it)</a:t>
          </a:r>
        </a:p>
      </xdr:txBody>
    </xdr:sp>
    <xdr:clientData/>
  </xdr:oneCellAnchor>
  <xdr:twoCellAnchor editAs="oneCell">
    <xdr:from>
      <xdr:col>12</xdr:col>
      <xdr:colOff>110530</xdr:colOff>
      <xdr:row>113</xdr:row>
      <xdr:rowOff>105412</xdr:rowOff>
    </xdr:from>
    <xdr:to>
      <xdr:col>12</xdr:col>
      <xdr:colOff>484127</xdr:colOff>
      <xdr:row>115</xdr:row>
      <xdr:rowOff>56786</xdr:rowOff>
    </xdr:to>
    <xdr:pic>
      <xdr:nvPicPr>
        <xdr:cNvPr id="17" name="Grafik 16" descr="Renoviertes Haus funkelnd mit einfarbiger Füllung">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3641473" y="18937698"/>
          <a:ext cx="373597" cy="386800"/>
        </a:xfrm>
        <a:prstGeom prst="rect">
          <a:avLst/>
        </a:prstGeom>
      </xdr:spPr>
    </xdr:pic>
    <xdr:clientData/>
  </xdr:twoCellAnchor>
  <xdr:twoCellAnchor editAs="oneCell">
    <xdr:from>
      <xdr:col>8</xdr:col>
      <xdr:colOff>104588</xdr:colOff>
      <xdr:row>248</xdr:row>
      <xdr:rowOff>104590</xdr:rowOff>
    </xdr:from>
    <xdr:to>
      <xdr:col>9</xdr:col>
      <xdr:colOff>184010</xdr:colOff>
      <xdr:row>250</xdr:row>
      <xdr:rowOff>530414</xdr:rowOff>
    </xdr:to>
    <xdr:pic>
      <xdr:nvPicPr>
        <xdr:cNvPr id="2" name="Grafik 1">
          <a:hlinkClick xmlns:r="http://schemas.openxmlformats.org/officeDocument/2006/relationships" r:id="rId2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1"/>
        <a:stretch>
          <a:fillRect/>
        </a:stretch>
      </xdr:blipFill>
      <xdr:spPr>
        <a:xfrm>
          <a:off x="11392647" y="36284649"/>
          <a:ext cx="990835" cy="1001058"/>
        </a:xfrm>
        <a:prstGeom prst="rect">
          <a:avLst/>
        </a:prstGeom>
      </xdr:spPr>
    </xdr:pic>
    <xdr:clientData/>
  </xdr:twoCellAnchor>
  <xdr:twoCellAnchor editAs="oneCell">
    <xdr:from>
      <xdr:col>12</xdr:col>
      <xdr:colOff>94593</xdr:colOff>
      <xdr:row>42</xdr:row>
      <xdr:rowOff>63062</xdr:rowOff>
    </xdr:from>
    <xdr:to>
      <xdr:col>12</xdr:col>
      <xdr:colOff>508938</xdr:colOff>
      <xdr:row>43</xdr:row>
      <xdr:rowOff>306916</xdr:rowOff>
    </xdr:to>
    <xdr:pic>
      <xdr:nvPicPr>
        <xdr:cNvPr id="40" name="Grafik 39" descr="Radioaktiv mit einfarbiger Füllung">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3752786" y="11451021"/>
          <a:ext cx="414345" cy="426187"/>
        </a:xfrm>
        <a:prstGeom prst="rect">
          <a:avLst/>
        </a:prstGeom>
      </xdr:spPr>
    </xdr:pic>
    <xdr:clientData/>
  </xdr:twoCellAnchor>
  <xdr:twoCellAnchor editAs="oneCell">
    <xdr:from>
      <xdr:col>12</xdr:col>
      <xdr:colOff>60960</xdr:colOff>
      <xdr:row>158</xdr:row>
      <xdr:rowOff>45720</xdr:rowOff>
    </xdr:from>
    <xdr:to>
      <xdr:col>12</xdr:col>
      <xdr:colOff>518160</xdr:colOff>
      <xdr:row>160</xdr:row>
      <xdr:rowOff>137161</xdr:rowOff>
    </xdr:to>
    <xdr:pic>
      <xdr:nvPicPr>
        <xdr:cNvPr id="16" name="Grafik 15" descr="Kräuselung mit einfarbiger Füllung">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716000" y="40050720"/>
          <a:ext cx="457200" cy="457200"/>
        </a:xfrm>
        <a:prstGeom prst="rect">
          <a:avLst/>
        </a:prstGeom>
      </xdr:spPr>
    </xdr:pic>
    <xdr:clientData/>
  </xdr:twoCellAnchor>
  <xdr:twoCellAnchor editAs="oneCell">
    <xdr:from>
      <xdr:col>6</xdr:col>
      <xdr:colOff>609600</xdr:colOff>
      <xdr:row>2</xdr:row>
      <xdr:rowOff>65587</xdr:rowOff>
    </xdr:from>
    <xdr:to>
      <xdr:col>8</xdr:col>
      <xdr:colOff>53340</xdr:colOff>
      <xdr:row>7</xdr:row>
      <xdr:rowOff>42023</xdr:rowOff>
    </xdr:to>
    <xdr:pic>
      <xdr:nvPicPr>
        <xdr:cNvPr id="19" name="Grafik 18">
          <a:hlinkClick xmlns:r="http://schemas.openxmlformats.org/officeDocument/2006/relationships" r:id="rId17"/>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6"/>
        <a:stretch>
          <a:fillRect/>
        </a:stretch>
      </xdr:blipFill>
      <xdr:spPr>
        <a:xfrm>
          <a:off x="10226040" y="545647"/>
          <a:ext cx="1043940" cy="1508056"/>
        </a:xfrm>
        <a:prstGeom prst="rect">
          <a:avLst/>
        </a:prstGeom>
        <a:effectLst>
          <a:outerShdw blurRad="139700" dist="76200" dir="2700000" algn="tl" rotWithShape="0">
            <a:prstClr val="black">
              <a:alpha val="40000"/>
            </a:prstClr>
          </a:outerShdw>
        </a:effectLst>
      </xdr:spPr>
    </xdr:pic>
    <xdr:clientData/>
  </xdr:twoCellAnchor>
  <xdr:twoCellAnchor editAs="oneCell">
    <xdr:from>
      <xdr:col>7</xdr:col>
      <xdr:colOff>142294</xdr:colOff>
      <xdr:row>3</xdr:row>
      <xdr:rowOff>17417</xdr:rowOff>
    </xdr:from>
    <xdr:to>
      <xdr:col>8</xdr:col>
      <xdr:colOff>265611</xdr:colOff>
      <xdr:row>7</xdr:row>
      <xdr:rowOff>165292</xdr:rowOff>
    </xdr:to>
    <xdr:pic>
      <xdr:nvPicPr>
        <xdr:cNvPr id="14" name="Grafik 13">
          <a:hlinkClick xmlns:r="http://schemas.openxmlformats.org/officeDocument/2006/relationships" r:id="rId17"/>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7"/>
        <a:stretch>
          <a:fillRect/>
        </a:stretch>
      </xdr:blipFill>
      <xdr:spPr>
        <a:xfrm>
          <a:off x="10313905" y="679268"/>
          <a:ext cx="1037717" cy="1497704"/>
        </a:xfrm>
        <a:prstGeom prst="rect">
          <a:avLst/>
        </a:prstGeom>
        <a:effectLst>
          <a:outerShdw blurRad="139700" dist="76200" dir="2700000" algn="tl" rotWithShape="0">
            <a:prstClr val="black">
              <a:alpha val="4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129502</xdr:colOff>
      <xdr:row>248</xdr:row>
      <xdr:rowOff>72642</xdr:rowOff>
    </xdr:from>
    <xdr:to>
      <xdr:col>10</xdr:col>
      <xdr:colOff>369764</xdr:colOff>
      <xdr:row>250</xdr:row>
      <xdr:rowOff>23184</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5302" y="62792862"/>
          <a:ext cx="1184354" cy="522037"/>
        </a:xfrm>
        <a:prstGeom prst="rect">
          <a:avLst/>
        </a:prstGeom>
      </xdr:spPr>
    </xdr:pic>
    <xdr:clientData/>
  </xdr:twoCellAnchor>
  <xdr:twoCellAnchor editAs="oneCell">
    <xdr:from>
      <xdr:col>9</xdr:col>
      <xdr:colOff>0</xdr:colOff>
      <xdr:row>250</xdr:row>
      <xdr:rowOff>0</xdr:rowOff>
    </xdr:from>
    <xdr:to>
      <xdr:col>9</xdr:col>
      <xdr:colOff>304800</xdr:colOff>
      <xdr:row>250</xdr:row>
      <xdr:rowOff>304800</xdr:rowOff>
    </xdr:to>
    <xdr:sp macro="" textlink="">
      <xdr:nvSpPr>
        <xdr:cNvPr id="3" name="AutoShape 5">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12115800" y="63291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220063</xdr:colOff>
      <xdr:row>250</xdr:row>
      <xdr:rowOff>94365</xdr:rowOff>
    </xdr:from>
    <xdr:to>
      <xdr:col>10</xdr:col>
      <xdr:colOff>263853</xdr:colOff>
      <xdr:row>250</xdr:row>
      <xdr:rowOff>435951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2335863" y="63386085"/>
          <a:ext cx="987882" cy="341586"/>
        </a:xfrm>
        <a:prstGeom prst="rect">
          <a:avLst/>
        </a:prstGeom>
        <a:ln>
          <a:noFill/>
        </a:ln>
      </xdr:spPr>
    </xdr:pic>
    <xdr:clientData/>
  </xdr:twoCellAnchor>
  <xdr:oneCellAnchor>
    <xdr:from>
      <xdr:col>6</xdr:col>
      <xdr:colOff>146538</xdr:colOff>
      <xdr:row>11</xdr:row>
      <xdr:rowOff>70339</xdr:rowOff>
    </xdr:from>
    <xdr:ext cx="1561393" cy="640240"/>
    <xdr:sp macro="" textlink="">
      <xdr:nvSpPr>
        <xdr:cNvPr id="5" name="Textfeld 4">
          <a:extLst>
            <a:ext uri="{FF2B5EF4-FFF2-40B4-BE49-F238E27FC236}">
              <a16:creationId xmlns:a16="http://schemas.microsoft.com/office/drawing/2014/main" id="{00000000-0008-0000-0200-000005000000}"/>
            </a:ext>
          </a:extLst>
        </xdr:cNvPr>
        <xdr:cNvSpPr txBox="1"/>
      </xdr:nvSpPr>
      <xdr:spPr>
        <a:xfrm>
          <a:off x="9763504" y="3023746"/>
          <a:ext cx="1561393"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Dies dient dazu, die Betrachtung einzugrenzen (z.B. können Sie die Infrastruktur ausklammern wenn Sie nur die darauf laufende Anwendung betrachten wollen)</a:t>
          </a:r>
        </a:p>
      </xdr:txBody>
    </xdr:sp>
    <xdr:clientData/>
  </xdr:oneCellAnchor>
  <xdr:twoCellAnchor>
    <xdr:from>
      <xdr:col>6</xdr:col>
      <xdr:colOff>123091</xdr:colOff>
      <xdr:row>11</xdr:row>
      <xdr:rowOff>164125</xdr:rowOff>
    </xdr:from>
    <xdr:to>
      <xdr:col>6</xdr:col>
      <xdr:colOff>181707</xdr:colOff>
      <xdr:row>14</xdr:row>
      <xdr:rowOff>35170</xdr:rowOff>
    </xdr:to>
    <xdr:sp macro="" textlink="">
      <xdr:nvSpPr>
        <xdr:cNvPr id="6" name="Geschweifte Klammer rechts 5">
          <a:extLst>
            <a:ext uri="{FF2B5EF4-FFF2-40B4-BE49-F238E27FC236}">
              <a16:creationId xmlns:a16="http://schemas.microsoft.com/office/drawing/2014/main" id="{00000000-0008-0000-0200-000006000000}"/>
            </a:ext>
          </a:extLst>
        </xdr:cNvPr>
        <xdr:cNvSpPr/>
      </xdr:nvSpPr>
      <xdr:spPr>
        <a:xfrm>
          <a:off x="9739531" y="2953045"/>
          <a:ext cx="58616" cy="450165"/>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12</xdr:col>
      <xdr:colOff>83885</xdr:colOff>
      <xdr:row>4</xdr:row>
      <xdr:rowOff>57630</xdr:rowOff>
    </xdr:from>
    <xdr:to>
      <xdr:col>12</xdr:col>
      <xdr:colOff>498230</xdr:colOff>
      <xdr:row>6</xdr:row>
      <xdr:rowOff>112942</xdr:rowOff>
    </xdr:to>
    <xdr:pic>
      <xdr:nvPicPr>
        <xdr:cNvPr id="7" name="Grafik 6" descr="Mitarbeitendenausweis mit einfarbiger Füllun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738925" y="1520670"/>
          <a:ext cx="414345" cy="421072"/>
        </a:xfrm>
        <a:prstGeom prst="rect">
          <a:avLst/>
        </a:prstGeom>
      </xdr:spPr>
    </xdr:pic>
    <xdr:clientData/>
  </xdr:twoCellAnchor>
  <xdr:twoCellAnchor editAs="oneCell">
    <xdr:from>
      <xdr:col>12</xdr:col>
      <xdr:colOff>86608</xdr:colOff>
      <xdr:row>218</xdr:row>
      <xdr:rowOff>36021</xdr:rowOff>
    </xdr:from>
    <xdr:to>
      <xdr:col>12</xdr:col>
      <xdr:colOff>500953</xdr:colOff>
      <xdr:row>220</xdr:row>
      <xdr:rowOff>87779</xdr:rowOff>
    </xdr:to>
    <xdr:pic>
      <xdr:nvPicPr>
        <xdr:cNvPr id="8" name="Grafik 7" descr="Diplomrolle mit einfarbiger Füllung">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741648" y="53795121"/>
          <a:ext cx="414345" cy="417519"/>
        </a:xfrm>
        <a:prstGeom prst="rect">
          <a:avLst/>
        </a:prstGeom>
      </xdr:spPr>
    </xdr:pic>
    <xdr:clientData/>
  </xdr:twoCellAnchor>
  <xdr:twoCellAnchor editAs="oneCell">
    <xdr:from>
      <xdr:col>12</xdr:col>
      <xdr:colOff>102579</xdr:colOff>
      <xdr:row>124</xdr:row>
      <xdr:rowOff>101644</xdr:rowOff>
    </xdr:from>
    <xdr:to>
      <xdr:col>12</xdr:col>
      <xdr:colOff>516924</xdr:colOff>
      <xdr:row>125</xdr:row>
      <xdr:rowOff>272879</xdr:rowOff>
    </xdr:to>
    <xdr:pic>
      <xdr:nvPicPr>
        <xdr:cNvPr id="9" name="Grafik 8" descr="Gesundheit und Sicherheit mit einfarbiger Füllung">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57619" y="33690604"/>
          <a:ext cx="414345" cy="417480"/>
        </a:xfrm>
        <a:prstGeom prst="rect">
          <a:avLst/>
        </a:prstGeom>
      </xdr:spPr>
    </xdr:pic>
    <xdr:clientData/>
  </xdr:twoCellAnchor>
  <xdr:twoCellAnchor editAs="oneCell">
    <xdr:from>
      <xdr:col>12</xdr:col>
      <xdr:colOff>89894</xdr:colOff>
      <xdr:row>84</xdr:row>
      <xdr:rowOff>99942</xdr:rowOff>
    </xdr:from>
    <xdr:to>
      <xdr:col>12</xdr:col>
      <xdr:colOff>500246</xdr:colOff>
      <xdr:row>86</xdr:row>
      <xdr:rowOff>112965</xdr:rowOff>
    </xdr:to>
    <xdr:pic>
      <xdr:nvPicPr>
        <xdr:cNvPr id="10" name="Grafik 9" descr="Handabdruck mit einfarbiger Füllung">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3744934" y="24499182"/>
          <a:ext cx="410352" cy="401641"/>
        </a:xfrm>
        <a:prstGeom prst="rect">
          <a:avLst/>
        </a:prstGeom>
      </xdr:spPr>
    </xdr:pic>
    <xdr:clientData/>
  </xdr:twoCellAnchor>
  <xdr:twoCellAnchor editAs="oneCell">
    <xdr:from>
      <xdr:col>12</xdr:col>
      <xdr:colOff>101938</xdr:colOff>
      <xdr:row>103</xdr:row>
      <xdr:rowOff>112776</xdr:rowOff>
    </xdr:from>
    <xdr:to>
      <xdr:col>12</xdr:col>
      <xdr:colOff>472097</xdr:colOff>
      <xdr:row>104</xdr:row>
      <xdr:rowOff>286801</xdr:rowOff>
    </xdr:to>
    <xdr:pic>
      <xdr:nvPicPr>
        <xdr:cNvPr id="11" name="Grafik 10" descr="Fragen mit einfarbiger Füllung">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56978" y="29221176"/>
          <a:ext cx="370159" cy="385282"/>
        </a:xfrm>
        <a:prstGeom prst="rect">
          <a:avLst/>
        </a:prstGeom>
      </xdr:spPr>
    </xdr:pic>
    <xdr:clientData/>
  </xdr:twoCellAnchor>
  <xdr:twoCellAnchor editAs="oneCell">
    <xdr:from>
      <xdr:col>12</xdr:col>
      <xdr:colOff>28658</xdr:colOff>
      <xdr:row>19</xdr:row>
      <xdr:rowOff>109338</xdr:rowOff>
    </xdr:from>
    <xdr:to>
      <xdr:col>12</xdr:col>
      <xdr:colOff>518613</xdr:colOff>
      <xdr:row>20</xdr:row>
      <xdr:rowOff>402070</xdr:rowOff>
    </xdr:to>
    <xdr:pic>
      <xdr:nvPicPr>
        <xdr:cNvPr id="12" name="Grafik 11" descr="Playbook mit einfarbiger Füllung">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3683698" y="4612758"/>
          <a:ext cx="489955" cy="490852"/>
        </a:xfrm>
        <a:prstGeom prst="rect">
          <a:avLst/>
        </a:prstGeom>
      </xdr:spPr>
    </xdr:pic>
    <xdr:clientData/>
  </xdr:twoCellAnchor>
  <xdr:twoCellAnchor editAs="oneCell">
    <xdr:from>
      <xdr:col>12</xdr:col>
      <xdr:colOff>107577</xdr:colOff>
      <xdr:row>225</xdr:row>
      <xdr:rowOff>89647</xdr:rowOff>
    </xdr:from>
    <xdr:to>
      <xdr:col>12</xdr:col>
      <xdr:colOff>493059</xdr:colOff>
      <xdr:row>227</xdr:row>
      <xdr:rowOff>116544</xdr:rowOff>
    </xdr:to>
    <xdr:pic>
      <xdr:nvPicPr>
        <xdr:cNvPr id="13" name="Grafik 12" descr="Umschaltfläche mit einfarbiger Füllung">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3762617" y="55563247"/>
          <a:ext cx="385482" cy="392656"/>
        </a:xfrm>
        <a:prstGeom prst="rect">
          <a:avLst/>
        </a:prstGeom>
      </xdr:spPr>
    </xdr:pic>
    <xdr:clientData/>
  </xdr:twoCellAnchor>
  <xdr:oneCellAnchor>
    <xdr:from>
      <xdr:col>6</xdr:col>
      <xdr:colOff>528815</xdr:colOff>
      <xdr:row>8</xdr:row>
      <xdr:rowOff>65506</xdr:rowOff>
    </xdr:from>
    <xdr:ext cx="1446438" cy="421077"/>
    <xdr:sp macro="" textlink="">
      <xdr:nvSpPr>
        <xdr:cNvPr id="14" name="Textfeld 13">
          <a:hlinkClick xmlns:r="http://schemas.openxmlformats.org/officeDocument/2006/relationships" r:id="rId17"/>
          <a:extLst>
            <a:ext uri="{FF2B5EF4-FFF2-40B4-BE49-F238E27FC236}">
              <a16:creationId xmlns:a16="http://schemas.microsoft.com/office/drawing/2014/main" id="{00000000-0008-0000-0200-00000E000000}"/>
            </a:ext>
          </a:extLst>
        </xdr:cNvPr>
        <xdr:cNvSpPr txBox="1"/>
      </xdr:nvSpPr>
      <xdr:spPr>
        <a:xfrm>
          <a:off x="10145781" y="2419823"/>
          <a:ext cx="1446438" cy="421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700"/>
            <a:t>Alle Risiko-Fragen finden sich hier auf einer Seite (anklicken um sie herunterzuladen)</a:t>
          </a:r>
        </a:p>
      </xdr:txBody>
    </xdr:sp>
    <xdr:clientData/>
  </xdr:oneCellAnchor>
  <xdr:twoCellAnchor editAs="oneCell">
    <xdr:from>
      <xdr:col>12</xdr:col>
      <xdr:colOff>110530</xdr:colOff>
      <xdr:row>113</xdr:row>
      <xdr:rowOff>105412</xdr:rowOff>
    </xdr:from>
    <xdr:to>
      <xdr:col>12</xdr:col>
      <xdr:colOff>484127</xdr:colOff>
      <xdr:row>115</xdr:row>
      <xdr:rowOff>79055</xdr:rowOff>
    </xdr:to>
    <xdr:pic>
      <xdr:nvPicPr>
        <xdr:cNvPr id="15" name="Grafik 14" descr="Renoviertes Haus funkelnd mit einfarbiger Füllung">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3765570" y="31347412"/>
          <a:ext cx="373597" cy="378094"/>
        </a:xfrm>
        <a:prstGeom prst="rect">
          <a:avLst/>
        </a:prstGeom>
      </xdr:spPr>
    </xdr:pic>
    <xdr:clientData/>
  </xdr:twoCellAnchor>
  <xdr:twoCellAnchor editAs="oneCell">
    <xdr:from>
      <xdr:col>8</xdr:col>
      <xdr:colOff>104588</xdr:colOff>
      <xdr:row>248</xdr:row>
      <xdr:rowOff>104590</xdr:rowOff>
    </xdr:from>
    <xdr:to>
      <xdr:col>9</xdr:col>
      <xdr:colOff>184011</xdr:colOff>
      <xdr:row>250</xdr:row>
      <xdr:rowOff>530419</xdr:rowOff>
    </xdr:to>
    <xdr:pic>
      <xdr:nvPicPr>
        <xdr:cNvPr id="16" name="Grafik 15">
          <a:hlinkClick xmlns:r="http://schemas.openxmlformats.org/officeDocument/2006/relationships" r:id="rId20"/>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1"/>
        <a:stretch>
          <a:fillRect/>
        </a:stretch>
      </xdr:blipFill>
      <xdr:spPr>
        <a:xfrm>
          <a:off x="11321228" y="62824810"/>
          <a:ext cx="978582" cy="997324"/>
        </a:xfrm>
        <a:prstGeom prst="rect">
          <a:avLst/>
        </a:prstGeom>
      </xdr:spPr>
    </xdr:pic>
    <xdr:clientData/>
  </xdr:twoCellAnchor>
  <xdr:twoCellAnchor editAs="oneCell">
    <xdr:from>
      <xdr:col>12</xdr:col>
      <xdr:colOff>94593</xdr:colOff>
      <xdr:row>42</xdr:row>
      <xdr:rowOff>63062</xdr:rowOff>
    </xdr:from>
    <xdr:to>
      <xdr:col>12</xdr:col>
      <xdr:colOff>508938</xdr:colOff>
      <xdr:row>43</xdr:row>
      <xdr:rowOff>306916</xdr:rowOff>
    </xdr:to>
    <xdr:pic>
      <xdr:nvPicPr>
        <xdr:cNvPr id="17" name="Grafik 16" descr="Radioaktiv mit einfarbiger Füllung">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3749633" y="11264462"/>
          <a:ext cx="414345" cy="426734"/>
        </a:xfrm>
        <a:prstGeom prst="rect">
          <a:avLst/>
        </a:prstGeom>
      </xdr:spPr>
    </xdr:pic>
    <xdr:clientData/>
  </xdr:twoCellAnchor>
  <xdr:twoCellAnchor editAs="oneCell">
    <xdr:from>
      <xdr:col>12</xdr:col>
      <xdr:colOff>60960</xdr:colOff>
      <xdr:row>158</xdr:row>
      <xdr:rowOff>45720</xdr:rowOff>
    </xdr:from>
    <xdr:to>
      <xdr:col>12</xdr:col>
      <xdr:colOff>518160</xdr:colOff>
      <xdr:row>160</xdr:row>
      <xdr:rowOff>118111</xdr:rowOff>
    </xdr:to>
    <xdr:pic>
      <xdr:nvPicPr>
        <xdr:cNvPr id="18" name="Grafik 17" descr="Kräuselung mit einfarbiger Füllun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716000" y="41384220"/>
          <a:ext cx="457200" cy="457201"/>
        </a:xfrm>
        <a:prstGeom prst="rect">
          <a:avLst/>
        </a:prstGeom>
      </xdr:spPr>
    </xdr:pic>
    <xdr:clientData/>
  </xdr:twoCellAnchor>
  <xdr:twoCellAnchor editAs="oneCell">
    <xdr:from>
      <xdr:col>6</xdr:col>
      <xdr:colOff>609600</xdr:colOff>
      <xdr:row>2</xdr:row>
      <xdr:rowOff>65587</xdr:rowOff>
    </xdr:from>
    <xdr:to>
      <xdr:col>7</xdr:col>
      <xdr:colOff>967739</xdr:colOff>
      <xdr:row>6</xdr:row>
      <xdr:rowOff>73554</xdr:rowOff>
    </xdr:to>
    <xdr:pic>
      <xdr:nvPicPr>
        <xdr:cNvPr id="19" name="Grafik 18">
          <a:hlinkClick xmlns:r="http://schemas.openxmlformats.org/officeDocument/2006/relationships" r:id="rId17"/>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6"/>
        <a:stretch>
          <a:fillRect/>
        </a:stretch>
      </xdr:blipFill>
      <xdr:spPr>
        <a:xfrm>
          <a:off x="10226040" y="545647"/>
          <a:ext cx="1043940" cy="1508056"/>
        </a:xfrm>
        <a:prstGeom prst="rect">
          <a:avLst/>
        </a:prstGeom>
        <a:effectLst>
          <a:outerShdw blurRad="139700" dist="76200" dir="2700000" algn="tl" rotWithShape="0">
            <a:prstClr val="black">
              <a:alpha val="40000"/>
            </a:prstClr>
          </a:outerShdw>
        </a:effectLst>
      </xdr:spPr>
    </xdr:pic>
    <xdr:clientData/>
  </xdr:twoCellAnchor>
  <xdr:twoCellAnchor editAs="oneCell">
    <xdr:from>
      <xdr:col>7</xdr:col>
      <xdr:colOff>142294</xdr:colOff>
      <xdr:row>3</xdr:row>
      <xdr:rowOff>17417</xdr:rowOff>
    </xdr:from>
    <xdr:to>
      <xdr:col>8</xdr:col>
      <xdr:colOff>202548</xdr:colOff>
      <xdr:row>7</xdr:row>
      <xdr:rowOff>12892</xdr:rowOff>
    </xdr:to>
    <xdr:pic>
      <xdr:nvPicPr>
        <xdr:cNvPr id="20" name="Grafik 19">
          <a:hlinkClick xmlns:r="http://schemas.openxmlformats.org/officeDocument/2006/relationships" r:id="rId17"/>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7"/>
        <a:stretch>
          <a:fillRect/>
        </a:stretch>
      </xdr:blipFill>
      <xdr:spPr>
        <a:xfrm>
          <a:off x="10444534" y="680357"/>
          <a:ext cx="1037717" cy="1496615"/>
        </a:xfrm>
        <a:prstGeom prst="rect">
          <a:avLst/>
        </a:prstGeom>
        <a:effectLst>
          <a:outerShdw blurRad="139700" dist="762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13</xdr:col>
      <xdr:colOff>79778</xdr:colOff>
      <xdr:row>12</xdr:row>
      <xdr:rowOff>92444</xdr:rowOff>
    </xdr:from>
    <xdr:ext cx="6473422" cy="13641139"/>
    <xdr:sp macro="" textlink="">
      <xdr:nvSpPr>
        <xdr:cNvPr id="4" name="Textfeld 3">
          <a:extLst>
            <a:ext uri="{FF2B5EF4-FFF2-40B4-BE49-F238E27FC236}">
              <a16:creationId xmlns:a16="http://schemas.microsoft.com/office/drawing/2014/main" id="{00000000-0008-0000-0300-000004000000}"/>
            </a:ext>
          </a:extLst>
        </xdr:cNvPr>
        <xdr:cNvSpPr txBox="1"/>
      </xdr:nvSpPr>
      <xdr:spPr>
        <a:xfrm>
          <a:off x="13696718" y="3247124"/>
          <a:ext cx="6473422" cy="136411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400" b="1">
              <a:latin typeface="Verdana" panose="020B0604030504040204" pitchFamily="34" charset="0"/>
              <a:ea typeface="Verdana" panose="020B0604030504040204" pitchFamily="34" charset="0"/>
            </a:rPr>
            <a:t>Data Protection Issues</a:t>
          </a:r>
          <a:r>
            <a:rPr lang="de-CH" sz="1100" b="0" i="0" u="none" strike="noStrike">
              <a:solidFill>
                <a:schemeClr val="tx1"/>
              </a:solidFill>
              <a:effectLst/>
              <a:latin typeface="Verdana" panose="020B0604030504040204" pitchFamily="34" charset="0"/>
              <a:ea typeface="Verdana" panose="020B0604030504040204" pitchFamily="34" charset="0"/>
              <a:cs typeface="+mn-cs"/>
            </a:rPr>
            <a:t> </a:t>
          </a:r>
        </a:p>
        <a:p>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Fairness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processing generally not acceptable for the people affected</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Legal basis</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there is no legal basis for the intended use of the data (if needed)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Transparency </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people are not aware of their data being processed or how/why</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Purpose limitation</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used for a purpose for which data was not collected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Data minimization</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more data than necessary are being collected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Storage limitation</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data is retained for too long or with access being to broad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Proportionality</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the data processing is unnecessary, unsuitable and unacceptable</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Accuracy </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data is incorrect for its purpose</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Data security</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data not sufficiently secure/protected against threats</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Privacy by default</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default settings should be privacy-friendly</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Automated decisions</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decisions that can have material impact on individuals</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Objection</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the data is used despite an objection by the people affected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Data subject rights</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right of access, correction, objection, deletion, portability</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Accountability</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there is not sufficient documentation to show compliance</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Consent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if relied upon does not fulfill the legal prerequisites for it to be valid </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Export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transfer to countries without data protection and without adequate safeguards</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Use of processors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use of data processors without adequate contract/security</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Joint controller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joint controllership without allocation of responsibilities</a:t>
          </a:r>
        </a:p>
        <a:p>
          <a:endParaRPr lang="de-CH" sz="1100" b="0" i="0" u="none" strike="noStrike" baseline="0">
            <a:solidFill>
              <a:schemeClr val="tx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Personality Rights</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CH" sz="1100" b="1" i="0" u="none" strike="noStrike" baseline="0" noProof="0">
              <a:solidFill>
                <a:schemeClr val="tx1"/>
              </a:solidFill>
              <a:effectLst/>
              <a:latin typeface="Verdana" panose="020B0604030504040204" pitchFamily="34" charset="0"/>
              <a:ea typeface="Verdana" panose="020B0604030504040204" pitchFamily="34" charset="0"/>
              <a:cs typeface="+mn-cs"/>
            </a:rPr>
            <a:t>Right to own picture or voice </a:t>
          </a:r>
          <a:r>
            <a:rPr lang="de-CH" sz="1100" b="0" i="0" u="none" strike="noStrike" baseline="0" noProof="0">
              <a:solidFill>
                <a:schemeClr val="tx1"/>
              </a:solidFill>
              <a:effectLst/>
              <a:latin typeface="Verdana" panose="020B0604030504040204" pitchFamily="34" charset="0"/>
              <a:ea typeface="Verdana" panose="020B0604030504040204" pitchFamily="34" charset="0"/>
              <a:cs typeface="+mn-cs"/>
            </a:rPr>
            <a:t>- where AI input or output may violate it</a:t>
          </a:r>
        </a:p>
        <a:p>
          <a:pPr marL="0" marR="0" lvl="0" indent="0" defTabSz="914400" eaLnBrk="1" fontAlgn="auto" latinLnBrk="0" hangingPunct="1">
            <a:lnSpc>
              <a:spcPct val="100000"/>
            </a:lnSpc>
            <a:spcBef>
              <a:spcPts val="0"/>
            </a:spcBef>
            <a:spcAft>
              <a:spcPts val="0"/>
            </a:spcAft>
            <a:buClrTx/>
            <a:buSzTx/>
            <a:buFontTx/>
            <a:buNone/>
            <a:tabLst/>
            <a:defRPr/>
          </a:pPr>
          <a:r>
            <a:rPr lang="de-CH" sz="1100" b="1" i="0" u="none" strike="noStrike" baseline="0" noProof="0">
              <a:solidFill>
                <a:schemeClr val="tx1"/>
              </a:solidFill>
              <a:effectLst/>
              <a:latin typeface="Verdana" panose="020B0604030504040204" pitchFamily="34" charset="0"/>
              <a:ea typeface="Verdana" panose="020B0604030504040204" pitchFamily="34" charset="0"/>
              <a:cs typeface="+mn-cs"/>
            </a:rPr>
            <a:t>Right to own name</a:t>
          </a:r>
          <a:r>
            <a:rPr lang="de-CH" sz="1100" b="0" i="0" u="none" strike="noStrike" baseline="0" noProof="0">
              <a:solidFill>
                <a:schemeClr val="tx1"/>
              </a:solidFill>
              <a:effectLst/>
              <a:latin typeface="Verdana" panose="020B0604030504040204" pitchFamily="34" charset="0"/>
              <a:ea typeface="Verdana" panose="020B0604030504040204" pitchFamily="34" charset="0"/>
              <a:cs typeface="+mn-cs"/>
            </a:rPr>
            <a:t>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where AI input or output may violate it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Missuse of identity of others</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by deep fakes or misrepresentation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Copyright</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Using protected third party works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without approval or fair use exemption</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Failure to disclose the use of AI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when using generated output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Other IP Rights</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Trademarks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usage of a mark as mark without approval </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Patents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unauthorized use of a protected technical invention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Official and Professional Secrecy</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 disclosure to provider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because it is not permitted or secure</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 use for training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because it is not permitted or could be revealed </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Output contains unwanted secrecies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breach of secrecy</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Non-Discrimination/Consumer Protection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Non-discrimination law</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e.g., where decisions are based on biased output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Consumer protection law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e.g., where consumers are forced to use AI</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Accessibility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e.g., making available the systems for people with disabilities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Unfair Competition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Violation of trade secrets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exploitation or disclosure of trade secrets to others</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Use of third party work results</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without own relevant investment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Deception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a lack of transparency when using AI that is deceptive</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Misleading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e.g., of customers by wrong, misleading or missing information</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Harming others</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by disparaging them or providing misleading information</a:t>
          </a:r>
          <a:endPar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Anti-Trust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Anti-trust</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illegal coordination among market participants (e.g., re prices)</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Abusive behaviour</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market players who misuse their dominance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Contractual Duties</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Confidentiality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obligation not to share information (also with provider)</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Labour law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duty of care, collective bargaining agreements, consultation</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Prohibited use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contract restricts the use of AI or specific content for AI</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Obligation to inform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use of AI or use specific content requires it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Consent required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use of AI or use specific content requires it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Non-compete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among contract parties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Corporate Governance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Damage to the company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self-inflicted harm (e.g., wrong decisions due to AI)</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Cost overruns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costs are much higher than expected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xdr:txBody>
    </xdr:sp>
    <xdr:clientData/>
  </xdr:oneCellAnchor>
  <xdr:twoCellAnchor editAs="oneCell">
    <xdr:from>
      <xdr:col>9</xdr:col>
      <xdr:colOff>280531</xdr:colOff>
      <xdr:row>261</xdr:row>
      <xdr:rowOff>161980</xdr:rowOff>
    </xdr:from>
    <xdr:to>
      <xdr:col>11</xdr:col>
      <xdr:colOff>121421</xdr:colOff>
      <xdr:row>263</xdr:row>
      <xdr:rowOff>317465</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79835" y="74824728"/>
          <a:ext cx="1179360" cy="525883"/>
        </a:xfrm>
        <a:prstGeom prst="rect">
          <a:avLst/>
        </a:prstGeom>
      </xdr:spPr>
    </xdr:pic>
    <xdr:clientData/>
  </xdr:twoCellAnchor>
  <xdr:oneCellAnchor>
    <xdr:from>
      <xdr:col>9</xdr:col>
      <xdr:colOff>174787</xdr:colOff>
      <xdr:row>22</xdr:row>
      <xdr:rowOff>1184656</xdr:rowOff>
    </xdr:from>
    <xdr:ext cx="2116455" cy="4300793"/>
    <xdr:sp macro="" textlink="">
      <xdr:nvSpPr>
        <xdr:cNvPr id="6" name="Textfeld 5">
          <a:extLst>
            <a:ext uri="{FF2B5EF4-FFF2-40B4-BE49-F238E27FC236}">
              <a16:creationId xmlns:a16="http://schemas.microsoft.com/office/drawing/2014/main" id="{00000000-0008-0000-0300-000006000000}"/>
            </a:ext>
          </a:extLst>
        </xdr:cNvPr>
        <xdr:cNvSpPr txBox="1"/>
      </xdr:nvSpPr>
      <xdr:spPr>
        <a:xfrm>
          <a:off x="11139967" y="6716776"/>
          <a:ext cx="2116455" cy="4300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400" b="1">
              <a:latin typeface="Verdana" panose="020B0604030504040204" pitchFamily="34" charset="0"/>
              <a:ea typeface="Verdana" panose="020B0604030504040204" pitchFamily="34" charset="0"/>
            </a:rPr>
            <a:t>Ethics</a:t>
          </a:r>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What goes beyond legal requirements and what stakeholders expect from each company (but differs from company to company)</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AI Regulations</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EU AI Act </a:t>
          </a:r>
          <a:r>
            <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(see the various separate worksheets) </a:t>
          </a:r>
        </a:p>
        <a:p>
          <a:pPr marL="0" marR="0" lvl="0" indent="0" defTabSz="914400" eaLnBrk="1" fontAlgn="auto" latinLnBrk="0" hangingPunct="1">
            <a:lnSpc>
              <a:spcPct val="100000"/>
            </a:lnSpc>
            <a:spcBef>
              <a:spcPts val="0"/>
            </a:spcBef>
            <a:spcAft>
              <a:spcPts val="0"/>
            </a:spcAft>
            <a:buClrTx/>
            <a:buSzTx/>
            <a:buFontTx/>
            <a:buNone/>
            <a:tabLst/>
            <a:defRPr/>
          </a:pPr>
          <a:b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b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AI Convention of the Council of Europe </a:t>
          </a:r>
          <a:r>
            <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(final text available)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See separate page for assistance in doing a compliance check (optional)</a:t>
          </a:r>
        </a:p>
      </xdr:txBody>
    </xdr:sp>
    <xdr:clientData/>
  </xdr:oneCellAnchor>
  <xdr:twoCellAnchor editAs="oneCell">
    <xdr:from>
      <xdr:col>9</xdr:col>
      <xdr:colOff>0</xdr:colOff>
      <xdr:row>264</xdr:row>
      <xdr:rowOff>0</xdr:rowOff>
    </xdr:from>
    <xdr:to>
      <xdr:col>9</xdr:col>
      <xdr:colOff>304800</xdr:colOff>
      <xdr:row>264</xdr:row>
      <xdr:rowOff>304800</xdr:rowOff>
    </xdr:to>
    <xdr:sp macro="" textlink="">
      <xdr:nvSpPr>
        <xdr:cNvPr id="2053" name="AutoShape 5">
          <a:extLst>
            <a:ext uri="{FF2B5EF4-FFF2-40B4-BE49-F238E27FC236}">
              <a16:creationId xmlns:a16="http://schemas.microsoft.com/office/drawing/2014/main" id="{00000000-0008-0000-0300-000005080000}"/>
            </a:ext>
          </a:extLst>
        </xdr:cNvPr>
        <xdr:cNvSpPr>
          <a:spLocks noChangeAspect="1" noChangeArrowheads="1"/>
        </xdr:cNvSpPr>
      </xdr:nvSpPr>
      <xdr:spPr bwMode="auto">
        <a:xfrm>
          <a:off x="10904220" y="72382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372463</xdr:colOff>
      <xdr:row>264</xdr:row>
      <xdr:rowOff>120869</xdr:rowOff>
    </xdr:from>
    <xdr:to>
      <xdr:col>11</xdr:col>
      <xdr:colOff>14537</xdr:colOff>
      <xdr:row>264</xdr:row>
      <xdr:rowOff>462455</xdr:rowOff>
    </xdr:to>
    <xdr:pic>
      <xdr:nvPicPr>
        <xdr:cNvPr id="13" name="Grafik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stretch>
          <a:fillRect/>
        </a:stretch>
      </xdr:blipFill>
      <xdr:spPr>
        <a:xfrm>
          <a:off x="11292711" y="72384745"/>
          <a:ext cx="987398" cy="341586"/>
        </a:xfrm>
        <a:prstGeom prst="rect">
          <a:avLst/>
        </a:prstGeom>
        <a:ln>
          <a:noFill/>
        </a:ln>
      </xdr:spPr>
    </xdr:pic>
    <xdr:clientData/>
  </xdr:twoCellAnchor>
  <xdr:twoCellAnchor>
    <xdr:from>
      <xdr:col>9</xdr:col>
      <xdr:colOff>139903</xdr:colOff>
      <xdr:row>85</xdr:row>
      <xdr:rowOff>45953</xdr:rowOff>
    </xdr:from>
    <xdr:to>
      <xdr:col>14</xdr:col>
      <xdr:colOff>1480407</xdr:colOff>
      <xdr:row>96</xdr:row>
      <xdr:rowOff>2098086</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14</xdr:col>
      <xdr:colOff>15023</xdr:colOff>
      <xdr:row>96</xdr:row>
      <xdr:rowOff>1028855</xdr:rowOff>
    </xdr:from>
    <xdr:ext cx="1401677" cy="342786"/>
    <xdr:sp macro="" textlink="">
      <xdr:nvSpPr>
        <xdr:cNvPr id="8" name="Textfeld 7">
          <a:extLst>
            <a:ext uri="{FF2B5EF4-FFF2-40B4-BE49-F238E27FC236}">
              <a16:creationId xmlns:a16="http://schemas.microsoft.com/office/drawing/2014/main" id="{00000000-0008-0000-0300-000008000000}"/>
            </a:ext>
          </a:extLst>
        </xdr:cNvPr>
        <xdr:cNvSpPr txBox="1"/>
      </xdr:nvSpPr>
      <xdr:spPr>
        <a:xfrm>
          <a:off x="14367517" y="24498455"/>
          <a:ext cx="14016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US" sz="800">
              <a:solidFill>
                <a:schemeClr val="bg2">
                  <a:lumMod val="50000"/>
                </a:schemeClr>
              </a:solidFill>
            </a:rPr>
            <a:t>The</a:t>
          </a:r>
          <a:r>
            <a:rPr lang="en-US" sz="800" baseline="0">
              <a:solidFill>
                <a:schemeClr val="bg2">
                  <a:lumMod val="50000"/>
                </a:schemeClr>
              </a:solidFill>
            </a:rPr>
            <a:t> outer border</a:t>
          </a:r>
          <a:br>
            <a:rPr lang="en-US" sz="800" baseline="0">
              <a:solidFill>
                <a:schemeClr val="bg2">
                  <a:lumMod val="50000"/>
                </a:schemeClr>
              </a:solidFill>
            </a:rPr>
          </a:br>
          <a:r>
            <a:rPr lang="en-US" sz="800" baseline="0">
              <a:solidFill>
                <a:schemeClr val="bg2">
                  <a:lumMod val="50000"/>
                </a:schemeClr>
              </a:solidFill>
            </a:rPr>
            <a:t>represents the maximum risk</a:t>
          </a:r>
          <a:endParaRPr lang="en-US" sz="800">
            <a:solidFill>
              <a:schemeClr val="bg2">
                <a:lumMod val="50000"/>
              </a:schemeClr>
            </a:solidFill>
          </a:endParaRPr>
        </a:p>
      </xdr:txBody>
    </xdr:sp>
    <xdr:clientData/>
  </xdr:oneCellAnchor>
  <xdr:oneCellAnchor>
    <xdr:from>
      <xdr:col>6</xdr:col>
      <xdr:colOff>158264</xdr:colOff>
      <xdr:row>11</xdr:row>
      <xdr:rowOff>128954</xdr:rowOff>
    </xdr:from>
    <xdr:ext cx="1418490" cy="64024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9144002" y="1928446"/>
          <a:ext cx="1418490"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This is used to narrow down what you</a:t>
          </a:r>
          <a:r>
            <a:rPr lang="en-US" sz="700" baseline="0"/>
            <a:t> are looking at (e.g., you can "carve-out" the infrastructure, if you are just looking at the app running on top of it)</a:t>
          </a:r>
          <a:endParaRPr lang="en-US" sz="700"/>
        </a:p>
      </xdr:txBody>
    </xdr:sp>
    <xdr:clientData/>
  </xdr:oneCellAnchor>
  <xdr:twoCellAnchor>
    <xdr:from>
      <xdr:col>6</xdr:col>
      <xdr:colOff>123091</xdr:colOff>
      <xdr:row>11</xdr:row>
      <xdr:rowOff>164124</xdr:rowOff>
    </xdr:from>
    <xdr:to>
      <xdr:col>6</xdr:col>
      <xdr:colOff>193429</xdr:colOff>
      <xdr:row>14</xdr:row>
      <xdr:rowOff>111370</xdr:rowOff>
    </xdr:to>
    <xdr:sp macro="" textlink="">
      <xdr:nvSpPr>
        <xdr:cNvPr id="9" name="Geschweifte Klammer rechts 8">
          <a:extLst>
            <a:ext uri="{FF2B5EF4-FFF2-40B4-BE49-F238E27FC236}">
              <a16:creationId xmlns:a16="http://schemas.microsoft.com/office/drawing/2014/main" id="{00000000-0008-0000-0300-000009000000}"/>
            </a:ext>
          </a:extLst>
        </xdr:cNvPr>
        <xdr:cNvSpPr/>
      </xdr:nvSpPr>
      <xdr:spPr>
        <a:xfrm>
          <a:off x="9108829" y="1963616"/>
          <a:ext cx="70338" cy="521677"/>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22</xdr:col>
      <xdr:colOff>169986</xdr:colOff>
      <xdr:row>195</xdr:row>
      <xdr:rowOff>181707</xdr:rowOff>
    </xdr:from>
    <xdr:to>
      <xdr:col>28</xdr:col>
      <xdr:colOff>150631</xdr:colOff>
      <xdr:row>205</xdr:row>
      <xdr:rowOff>164122</xdr:rowOff>
    </xdr:to>
    <xdr:sp macro="" textlink="">
      <xdr:nvSpPr>
        <xdr:cNvPr id="12" name="Textfeld 11">
          <a:extLst>
            <a:ext uri="{FF2B5EF4-FFF2-40B4-BE49-F238E27FC236}">
              <a16:creationId xmlns:a16="http://schemas.microsoft.com/office/drawing/2014/main" id="{00000000-0008-0000-0300-00000C000000}"/>
            </a:ext>
          </a:extLst>
        </xdr:cNvPr>
        <xdr:cNvSpPr txBox="1"/>
      </xdr:nvSpPr>
      <xdr:spPr>
        <a:xfrm>
          <a:off x="22719324" y="95865461"/>
          <a:ext cx="4728492" cy="21160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a:t>More on the Delphi-Method: https://en.wikipedia.org/wiki/Delphi_method</a:t>
          </a:r>
        </a:p>
        <a:p>
          <a:endParaRPr lang="de-CH" sz="1000"/>
        </a:p>
        <a:p>
          <a:r>
            <a:rPr lang="de-CH" sz="1000"/>
            <a:t>How to use "Delphi":</a:t>
          </a:r>
        </a:p>
        <a:p>
          <a:endParaRPr lang="de-CH" sz="1000"/>
        </a:p>
        <a:p>
          <a:pPr indent="-108000"/>
          <a:r>
            <a:rPr lang="de-CH" sz="1000"/>
            <a:t>1. Enter</a:t>
          </a:r>
          <a:r>
            <a:rPr lang="de-CH" sz="1000" baseline="0"/>
            <a:t> the number of participants in the relevant field (AG96).</a:t>
          </a:r>
          <a:endParaRPr lang="de-CH" sz="1000"/>
        </a:p>
        <a:p>
          <a:pPr indent="-108000"/>
          <a:r>
            <a:rPr lang="de-CH" sz="1000"/>
            <a:t>2. Go to the line for you try to determine a value.</a:t>
          </a:r>
        </a:p>
        <a:p>
          <a:pPr indent="-108000"/>
          <a:r>
            <a:rPr lang="de-CH" sz="1000"/>
            <a:t>3. Have</a:t>
          </a:r>
          <a:r>
            <a:rPr lang="de-CH" sz="1000" baseline="0"/>
            <a:t> each participant think of an appropriate value.</a:t>
          </a:r>
        </a:p>
        <a:p>
          <a:pPr indent="-108000"/>
          <a:r>
            <a:rPr lang="de-CH" sz="1000" baseline="0"/>
            <a:t>4. Put the value of each participant into the columns W-AA; don't discuss yet.</a:t>
          </a:r>
        </a:p>
        <a:p>
          <a:pPr indent="-108000"/>
          <a:r>
            <a:rPr lang="de-CH" sz="1000" baseline="0"/>
            <a:t>5. Once completed, discuss the values, i.e. why each person said what it said.</a:t>
          </a:r>
        </a:p>
        <a:p>
          <a:pPr indent="-108000"/>
          <a:r>
            <a:rPr lang="de-CH" sz="1000" baseline="0"/>
            <a:t>6. After that, have each participant again think of an appropriate value.</a:t>
          </a:r>
        </a:p>
        <a:p>
          <a:pPr indent="-108000"/>
          <a:r>
            <a:rPr lang="de-CH" sz="1000" baseline="0"/>
            <a:t>7. Enter them into the columns AB-AF. The average in column AG is the value to use.</a:t>
          </a:r>
        </a:p>
        <a:p>
          <a:pPr indent="-108000"/>
          <a:r>
            <a:rPr lang="de-CH" sz="1000" baseline="0"/>
            <a:t>8. Proceed with the next line and redo steps 3-7.</a:t>
          </a:r>
        </a:p>
      </xdr:txBody>
    </xdr:sp>
    <xdr:clientData/>
  </xdr:twoCellAnchor>
  <xdr:twoCellAnchor editAs="oneCell">
    <xdr:from>
      <xdr:col>9</xdr:col>
      <xdr:colOff>459686</xdr:colOff>
      <xdr:row>43</xdr:row>
      <xdr:rowOff>169558</xdr:rowOff>
    </xdr:from>
    <xdr:to>
      <xdr:col>11</xdr:col>
      <xdr:colOff>246556</xdr:colOff>
      <xdr:row>48</xdr:row>
      <xdr:rowOff>317476</xdr:rowOff>
    </xdr:to>
    <xdr:pic>
      <xdr:nvPicPr>
        <xdr:cNvPr id="15" name="Grafik 14">
          <a:hlinkClick xmlns:r="http://schemas.openxmlformats.org/officeDocument/2006/relationships" r:id="rId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a:stretch>
          <a:fillRect/>
        </a:stretch>
      </xdr:blipFill>
      <xdr:spPr>
        <a:xfrm rot="423087">
          <a:off x="11424866" y="11271898"/>
          <a:ext cx="1112750" cy="1420458"/>
        </a:xfrm>
        <a:prstGeom prst="rect">
          <a:avLst/>
        </a:prstGeom>
        <a:effectLst>
          <a:outerShdw blurRad="139700" dist="76200" dir="2700000" algn="tl" rotWithShape="0">
            <a:prstClr val="black">
              <a:alpha val="40000"/>
            </a:prstClr>
          </a:outerShdw>
        </a:effectLst>
      </xdr:spPr>
    </xdr:pic>
    <xdr:clientData/>
  </xdr:twoCellAnchor>
  <mc:AlternateContent xmlns:mc="http://schemas.openxmlformats.org/markup-compatibility/2006">
    <mc:Choice xmlns:a14="http://schemas.microsoft.com/office/drawing/2010/main" Requires="a14">
      <xdr:twoCellAnchor editAs="oneCell">
        <xdr:from>
          <xdr:col>2</xdr:col>
          <xdr:colOff>2202180</xdr:colOff>
          <xdr:row>39</xdr:row>
          <xdr:rowOff>144780</xdr:rowOff>
        </xdr:from>
        <xdr:to>
          <xdr:col>3</xdr:col>
          <xdr:colOff>1165860</xdr:colOff>
          <xdr:row>41</xdr:row>
          <xdr:rowOff>15240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Prohibited practice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39</xdr:row>
          <xdr:rowOff>175260</xdr:rowOff>
        </xdr:from>
        <xdr:to>
          <xdr:col>3</xdr:col>
          <xdr:colOff>2407920</xdr:colOff>
          <xdr:row>40</xdr:row>
          <xdr:rowOff>205740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High-risk AI system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39</xdr:row>
          <xdr:rowOff>152400</xdr:rowOff>
        </xdr:from>
        <xdr:to>
          <xdr:col>5</xdr:col>
          <xdr:colOff>190500</xdr:colOff>
          <xdr:row>41</xdr:row>
          <xdr:rowOff>15240</xdr:rowOff>
        </xdr:to>
        <xdr:sp macro="" textlink="">
          <xdr:nvSpPr>
            <xdr:cNvPr id="3078" name="Option Button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AI system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1813560</xdr:colOff>
          <xdr:row>39</xdr:row>
          <xdr:rowOff>175260</xdr:rowOff>
        </xdr:from>
        <xdr:to>
          <xdr:col>8</xdr:col>
          <xdr:colOff>7620</xdr:colOff>
          <xdr:row>40</xdr:row>
          <xdr:rowOff>205740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Own general purpose AI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2202180</xdr:colOff>
          <xdr:row>40</xdr:row>
          <xdr:rowOff>198120</xdr:rowOff>
        </xdr:from>
        <xdr:to>
          <xdr:col>3</xdr:col>
          <xdr:colOff>716280</xdr:colOff>
          <xdr:row>42</xdr:row>
          <xdr:rowOff>15240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Provider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777240</xdr:colOff>
          <xdr:row>40</xdr:row>
          <xdr:rowOff>198120</xdr:rowOff>
        </xdr:from>
        <xdr:to>
          <xdr:col>3</xdr:col>
          <xdr:colOff>1516380</xdr:colOff>
          <xdr:row>42</xdr:row>
          <xdr:rowOff>15240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Deployer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1623060</xdr:colOff>
          <xdr:row>40</xdr:row>
          <xdr:rowOff>182880</xdr:rowOff>
        </xdr:from>
        <xdr:to>
          <xdr:col>3</xdr:col>
          <xdr:colOff>2346960</xdr:colOff>
          <xdr:row>42</xdr:row>
          <xdr:rowOff>30480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Importer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40</xdr:row>
          <xdr:rowOff>198120</xdr:rowOff>
        </xdr:from>
        <xdr:to>
          <xdr:col>4</xdr:col>
          <xdr:colOff>777240</xdr:colOff>
          <xdr:row>42</xdr:row>
          <xdr:rowOff>15240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Distributor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39</xdr:row>
          <xdr:rowOff>175260</xdr:rowOff>
        </xdr:from>
        <xdr:to>
          <xdr:col>5</xdr:col>
          <xdr:colOff>1463040</xdr:colOff>
          <xdr:row>40</xdr:row>
          <xdr:rowOff>205740</xdr:rowOff>
        </xdr:to>
        <xdr:sp macro="" textlink="">
          <xdr:nvSpPr>
            <xdr:cNvPr id="3084" name="Option Button 12"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Not subject to AI 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40</xdr:row>
          <xdr:rowOff>190500</xdr:rowOff>
        </xdr:from>
        <xdr:to>
          <xdr:col>5</xdr:col>
          <xdr:colOff>1341120</xdr:colOff>
          <xdr:row>42</xdr:row>
          <xdr:rowOff>30480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Product manufacturer</a:t>
              </a:r>
            </a:p>
          </xdr:txBody>
        </xdr:sp>
        <xdr:clientData/>
      </xdr:twoCellAnchor>
    </mc:Choice>
    <mc:Fallback/>
  </mc:AlternateContent>
  <xdr:twoCellAnchor editAs="oneCell">
    <xdr:from>
      <xdr:col>9</xdr:col>
      <xdr:colOff>297180</xdr:colOff>
      <xdr:row>12</xdr:row>
      <xdr:rowOff>167640</xdr:rowOff>
    </xdr:from>
    <xdr:to>
      <xdr:col>12</xdr:col>
      <xdr:colOff>495047</xdr:colOff>
      <xdr:row>22</xdr:row>
      <xdr:rowOff>878367</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11262360" y="3322320"/>
          <a:ext cx="2186687" cy="3088167"/>
        </a:xfrm>
        <a:prstGeom prst="rect">
          <a:avLst/>
        </a:prstGeom>
      </xdr:spPr>
    </xdr:pic>
    <xdr:clientData/>
  </xdr:twoCellAnchor>
  <xdr:twoCellAnchor editAs="oneCell">
    <xdr:from>
      <xdr:col>9</xdr:col>
      <xdr:colOff>202475</xdr:colOff>
      <xdr:row>2</xdr:row>
      <xdr:rowOff>91440</xdr:rowOff>
    </xdr:from>
    <xdr:to>
      <xdr:col>18</xdr:col>
      <xdr:colOff>1066801</xdr:colOff>
      <xdr:row>8</xdr:row>
      <xdr:rowOff>174073</xdr:rowOff>
    </xdr:to>
    <xdr:pic>
      <xdr:nvPicPr>
        <xdr:cNvPr id="14" name="Grafik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a:stretch>
          <a:fillRect/>
        </a:stretch>
      </xdr:blipFill>
      <xdr:spPr>
        <a:xfrm>
          <a:off x="11175275" y="570411"/>
          <a:ext cx="8331926" cy="19876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13</xdr:col>
      <xdr:colOff>79778</xdr:colOff>
      <xdr:row>12</xdr:row>
      <xdr:rowOff>92444</xdr:rowOff>
    </xdr:from>
    <xdr:ext cx="7966942" cy="16260076"/>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4031998" y="3399524"/>
          <a:ext cx="7966942" cy="16260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400" b="1">
              <a:solidFill>
                <a:schemeClr val="tx1"/>
              </a:solidFill>
              <a:effectLst/>
              <a:latin typeface="Verdana" panose="020B0604030504040204" pitchFamily="34" charset="0"/>
              <a:ea typeface="Verdana" panose="020B0604030504040204" pitchFamily="34" charset="0"/>
              <a:cs typeface="+mn-cs"/>
            </a:rPr>
            <a:t>Fragen des Datenschutzes </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Fairness </a:t>
          </a:r>
          <a:r>
            <a:rPr lang="de-CH" sz="1100">
              <a:solidFill>
                <a:schemeClr val="tx1"/>
              </a:solidFill>
              <a:effectLst/>
              <a:latin typeface="Verdana" panose="020B0604030504040204" pitchFamily="34" charset="0"/>
              <a:ea typeface="Verdana" panose="020B0604030504040204" pitchFamily="34" charset="0"/>
              <a:cs typeface="+mn-cs"/>
            </a:rPr>
            <a:t>- die Verarbeitung ist für die betroffenen Personen generell nicht akzeptabel </a:t>
          </a:r>
        </a:p>
        <a:p>
          <a:r>
            <a:rPr lang="de-CH" sz="1100" b="1">
              <a:solidFill>
                <a:schemeClr val="tx1"/>
              </a:solidFill>
              <a:effectLst/>
              <a:latin typeface="Verdana" panose="020B0604030504040204" pitchFamily="34" charset="0"/>
              <a:ea typeface="Verdana" panose="020B0604030504040204" pitchFamily="34" charset="0"/>
              <a:cs typeface="+mn-cs"/>
            </a:rPr>
            <a:t>Rechtsgrundlage </a:t>
          </a:r>
          <a:r>
            <a:rPr lang="de-CH" sz="1100">
              <a:solidFill>
                <a:schemeClr val="tx1"/>
              </a:solidFill>
              <a:effectLst/>
              <a:latin typeface="Verdana" panose="020B0604030504040204" pitchFamily="34" charset="0"/>
              <a:ea typeface="Verdana" panose="020B0604030504040204" pitchFamily="34" charset="0"/>
              <a:cs typeface="+mn-cs"/>
            </a:rPr>
            <a:t>- es fehlt die Rechtsgrundlage für die beabsichtigte Verarbeitung (soweit erforderlich)</a:t>
          </a:r>
        </a:p>
        <a:p>
          <a:r>
            <a:rPr lang="de-CH" sz="1100" b="1">
              <a:solidFill>
                <a:schemeClr val="tx1"/>
              </a:solidFill>
              <a:effectLst/>
              <a:latin typeface="Verdana" panose="020B0604030504040204" pitchFamily="34" charset="0"/>
              <a:ea typeface="Verdana" panose="020B0604030504040204" pitchFamily="34" charset="0"/>
              <a:cs typeface="+mn-cs"/>
            </a:rPr>
            <a:t>Transparenz </a:t>
          </a:r>
          <a:r>
            <a:rPr lang="de-CH" sz="1100">
              <a:solidFill>
                <a:schemeClr val="tx1"/>
              </a:solidFill>
              <a:effectLst/>
              <a:latin typeface="Verdana" panose="020B0604030504040204" pitchFamily="34" charset="0"/>
              <a:ea typeface="Verdana" panose="020B0604030504040204" pitchFamily="34" charset="0"/>
              <a:cs typeface="+mn-cs"/>
            </a:rPr>
            <a:t>- es ist für Betroffene nicht erkennbar, dass, wie und wozu ihre Daten verarbeitet werden</a:t>
          </a:r>
        </a:p>
        <a:p>
          <a:r>
            <a:rPr lang="de-CH" sz="1100" b="1">
              <a:solidFill>
                <a:schemeClr val="tx1"/>
              </a:solidFill>
              <a:effectLst/>
              <a:latin typeface="Verdana" panose="020B0604030504040204" pitchFamily="34" charset="0"/>
              <a:ea typeface="Verdana" panose="020B0604030504040204" pitchFamily="34" charset="0"/>
              <a:cs typeface="+mn-cs"/>
            </a:rPr>
            <a:t>Zweckbindung </a:t>
          </a:r>
          <a:r>
            <a:rPr lang="de-CH" sz="1100">
              <a:solidFill>
                <a:schemeClr val="tx1"/>
              </a:solidFill>
              <a:effectLst/>
              <a:latin typeface="Verdana" panose="020B0604030504040204" pitchFamily="34" charset="0"/>
              <a:ea typeface="Verdana" panose="020B0604030504040204" pitchFamily="34" charset="0"/>
              <a:cs typeface="+mn-cs"/>
            </a:rPr>
            <a:t>- Verwendung der Daten für einen Zweck, für den sie</a:t>
          </a:r>
          <a:r>
            <a:rPr lang="de-CH" sz="1100" baseline="0">
              <a:solidFill>
                <a:schemeClr val="tx1"/>
              </a:solidFill>
              <a:effectLst/>
              <a:latin typeface="Verdana" panose="020B0604030504040204" pitchFamily="34" charset="0"/>
              <a:ea typeface="Verdana" panose="020B0604030504040204" pitchFamily="34" charset="0"/>
              <a:cs typeface="+mn-cs"/>
            </a:rPr>
            <a:t> </a:t>
          </a:r>
          <a:r>
            <a:rPr lang="de-CH" sz="1100">
              <a:solidFill>
                <a:schemeClr val="tx1"/>
              </a:solidFill>
              <a:effectLst/>
              <a:latin typeface="Verdana" panose="020B0604030504040204" pitchFamily="34" charset="0"/>
              <a:ea typeface="Verdana" panose="020B0604030504040204" pitchFamily="34" charset="0"/>
              <a:cs typeface="+mn-cs"/>
            </a:rPr>
            <a:t>nicht erhoben worden sind</a:t>
          </a:r>
        </a:p>
        <a:p>
          <a:r>
            <a:rPr lang="de-CH" sz="1100" b="1">
              <a:solidFill>
                <a:schemeClr val="tx1"/>
              </a:solidFill>
              <a:effectLst/>
              <a:latin typeface="Verdana" panose="020B0604030504040204" pitchFamily="34" charset="0"/>
              <a:ea typeface="Verdana" panose="020B0604030504040204" pitchFamily="34" charset="0"/>
              <a:cs typeface="+mn-cs"/>
            </a:rPr>
            <a:t>Datenminimierung </a:t>
          </a:r>
          <a:r>
            <a:rPr lang="de-CH" sz="1100">
              <a:solidFill>
                <a:schemeClr val="tx1"/>
              </a:solidFill>
              <a:effectLst/>
              <a:latin typeface="Verdana" panose="020B0604030504040204" pitchFamily="34" charset="0"/>
              <a:ea typeface="Verdana" panose="020B0604030504040204" pitchFamily="34" charset="0"/>
              <a:cs typeface="+mn-cs"/>
            </a:rPr>
            <a:t>- es werden mehr Daten als nötig gesammelt</a:t>
          </a:r>
        </a:p>
        <a:p>
          <a:r>
            <a:rPr lang="de-CH" sz="1100" b="1">
              <a:solidFill>
                <a:schemeClr val="tx1"/>
              </a:solidFill>
              <a:effectLst/>
              <a:latin typeface="Verdana" panose="020B0604030504040204" pitchFamily="34" charset="0"/>
              <a:ea typeface="Verdana" panose="020B0604030504040204" pitchFamily="34" charset="0"/>
              <a:cs typeface="+mn-cs"/>
            </a:rPr>
            <a:t>Speicherbegrenzung </a:t>
          </a:r>
          <a:r>
            <a:rPr lang="de-CH" sz="1100">
              <a:solidFill>
                <a:schemeClr val="tx1"/>
              </a:solidFill>
              <a:effectLst/>
              <a:latin typeface="Verdana" panose="020B0604030504040204" pitchFamily="34" charset="0"/>
              <a:ea typeface="Verdana" panose="020B0604030504040204" pitchFamily="34" charset="0"/>
              <a:cs typeface="+mn-cs"/>
            </a:rPr>
            <a:t>- Daten werden länger als nötig aufbewahrt oder der Zugriff darauf ist breit erteilt</a:t>
          </a:r>
        </a:p>
        <a:p>
          <a:r>
            <a:rPr lang="de-CH" sz="1100" b="1">
              <a:solidFill>
                <a:schemeClr val="tx1"/>
              </a:solidFill>
              <a:effectLst/>
              <a:latin typeface="Verdana" panose="020B0604030504040204" pitchFamily="34" charset="0"/>
              <a:ea typeface="Verdana" panose="020B0604030504040204" pitchFamily="34" charset="0"/>
              <a:cs typeface="+mn-cs"/>
            </a:rPr>
            <a:t>Verhältnismässigkeit </a:t>
          </a:r>
          <a:r>
            <a:rPr lang="de-CH" sz="1100">
              <a:solidFill>
                <a:schemeClr val="tx1"/>
              </a:solidFill>
              <a:effectLst/>
              <a:latin typeface="Verdana" panose="020B0604030504040204" pitchFamily="34" charset="0"/>
              <a:ea typeface="Verdana" panose="020B0604030504040204" pitchFamily="34" charset="0"/>
              <a:cs typeface="+mn-cs"/>
            </a:rPr>
            <a:t>- eine unnötige, ungeeignete oder nicht zumutbare Bearbeitung von Daten</a:t>
          </a:r>
        </a:p>
        <a:p>
          <a:r>
            <a:rPr lang="de-CH" sz="1100" b="1">
              <a:solidFill>
                <a:schemeClr val="tx1"/>
              </a:solidFill>
              <a:effectLst/>
              <a:latin typeface="Verdana" panose="020B0604030504040204" pitchFamily="34" charset="0"/>
              <a:ea typeface="Verdana" panose="020B0604030504040204" pitchFamily="34" charset="0"/>
              <a:cs typeface="+mn-cs"/>
            </a:rPr>
            <a:t>Richtigkeit </a:t>
          </a:r>
          <a:r>
            <a:rPr lang="de-CH" sz="1100">
              <a:solidFill>
                <a:schemeClr val="tx1"/>
              </a:solidFill>
              <a:effectLst/>
              <a:latin typeface="Verdana" panose="020B0604030504040204" pitchFamily="34" charset="0"/>
              <a:ea typeface="Verdana" panose="020B0604030504040204" pitchFamily="34" charset="0"/>
              <a:cs typeface="+mn-cs"/>
            </a:rPr>
            <a:t>- Daten sind nicht richtig</a:t>
          </a:r>
          <a:r>
            <a:rPr lang="de-CH" sz="1100" baseline="0">
              <a:solidFill>
                <a:schemeClr val="tx1"/>
              </a:solidFill>
              <a:effectLst/>
              <a:latin typeface="Verdana" panose="020B0604030504040204" pitchFamily="34" charset="0"/>
              <a:ea typeface="Verdana" panose="020B0604030504040204" pitchFamily="34" charset="0"/>
              <a:cs typeface="+mn-cs"/>
            </a:rPr>
            <a:t> im Hinblick auf ihren </a:t>
          </a:r>
          <a:r>
            <a:rPr lang="de-CH" sz="1100">
              <a:solidFill>
                <a:schemeClr val="tx1"/>
              </a:solidFill>
              <a:effectLst/>
              <a:latin typeface="Verdana" panose="020B0604030504040204" pitchFamily="34" charset="0"/>
              <a:ea typeface="Verdana" panose="020B0604030504040204" pitchFamily="34" charset="0"/>
              <a:cs typeface="+mn-cs"/>
            </a:rPr>
            <a:t>Zweck </a:t>
          </a:r>
        </a:p>
        <a:p>
          <a:r>
            <a:rPr lang="de-CH" sz="1100" b="1">
              <a:solidFill>
                <a:schemeClr val="tx1"/>
              </a:solidFill>
              <a:effectLst/>
              <a:latin typeface="Verdana" panose="020B0604030504040204" pitchFamily="34" charset="0"/>
              <a:ea typeface="Verdana" panose="020B0604030504040204" pitchFamily="34" charset="0"/>
              <a:cs typeface="+mn-cs"/>
            </a:rPr>
            <a:t>Datensicherheit </a:t>
          </a:r>
          <a:r>
            <a:rPr lang="de-CH" sz="1100">
              <a:solidFill>
                <a:schemeClr val="tx1"/>
              </a:solidFill>
              <a:effectLst/>
              <a:latin typeface="Verdana" panose="020B0604030504040204" pitchFamily="34" charset="0"/>
              <a:ea typeface="Verdana" panose="020B0604030504040204" pitchFamily="34" charset="0"/>
              <a:cs typeface="+mn-cs"/>
            </a:rPr>
            <a:t>- Daten sind nicht ausreichend gesichert/geschützt gegen Bedrohungen</a:t>
          </a:r>
        </a:p>
        <a:p>
          <a:r>
            <a:rPr lang="de-CH" sz="1100" b="1">
              <a:solidFill>
                <a:schemeClr val="tx1"/>
              </a:solidFill>
              <a:effectLst/>
              <a:latin typeface="Verdana" panose="020B0604030504040204" pitchFamily="34" charset="0"/>
              <a:ea typeface="Verdana" panose="020B0604030504040204" pitchFamily="34" charset="0"/>
              <a:cs typeface="+mn-cs"/>
            </a:rPr>
            <a:t>Datenschutz durch Voreinstellung </a:t>
          </a:r>
          <a:r>
            <a:rPr lang="de-CH" sz="1100">
              <a:solidFill>
                <a:schemeClr val="tx1"/>
              </a:solidFill>
              <a:effectLst/>
              <a:latin typeface="Verdana" panose="020B0604030504040204" pitchFamily="34" charset="0"/>
              <a:ea typeface="Verdana" panose="020B0604030504040204" pitchFamily="34" charset="0"/>
              <a:cs typeface="+mn-cs"/>
            </a:rPr>
            <a:t>- datenschutzfreundliche Voreinstellungen</a:t>
          </a:r>
        </a:p>
        <a:p>
          <a:r>
            <a:rPr lang="de-CH" sz="1100" b="1">
              <a:solidFill>
                <a:schemeClr val="tx1"/>
              </a:solidFill>
              <a:effectLst/>
              <a:latin typeface="Verdana" panose="020B0604030504040204" pitchFamily="34" charset="0"/>
              <a:ea typeface="Verdana" panose="020B0604030504040204" pitchFamily="34" charset="0"/>
              <a:cs typeface="+mn-cs"/>
            </a:rPr>
            <a:t>Automatisierte Entscheide </a:t>
          </a:r>
          <a:r>
            <a:rPr lang="de-CH" sz="1100">
              <a:solidFill>
                <a:schemeClr val="tx1"/>
              </a:solidFill>
              <a:effectLst/>
              <a:latin typeface="Verdana" panose="020B0604030504040204" pitchFamily="34" charset="0"/>
              <a:ea typeface="Verdana" panose="020B0604030504040204" pitchFamily="34" charset="0"/>
              <a:cs typeface="+mn-cs"/>
            </a:rPr>
            <a:t>- Einzelentscheide, die wesentliche Auswirkungen haben können</a:t>
          </a:r>
        </a:p>
        <a:p>
          <a:r>
            <a:rPr lang="de-CH" sz="1100" b="1">
              <a:solidFill>
                <a:schemeClr val="tx1"/>
              </a:solidFill>
              <a:effectLst/>
              <a:latin typeface="Verdana" panose="020B0604030504040204" pitchFamily="34" charset="0"/>
              <a:ea typeface="Verdana" panose="020B0604030504040204" pitchFamily="34" charset="0"/>
              <a:cs typeface="+mn-cs"/>
            </a:rPr>
            <a:t>Widerspruch </a:t>
          </a:r>
          <a:r>
            <a:rPr lang="de-CH" sz="1100">
              <a:solidFill>
                <a:schemeClr val="tx1"/>
              </a:solidFill>
              <a:effectLst/>
              <a:latin typeface="Verdana" panose="020B0604030504040204" pitchFamily="34" charset="0"/>
              <a:ea typeface="Verdana" panose="020B0604030504040204" pitchFamily="34" charset="0"/>
              <a:cs typeface="+mn-cs"/>
            </a:rPr>
            <a:t>- die Daten werden trotz eines Widerspruchs der betroffenen Personen weiterverarbeitet</a:t>
          </a:r>
        </a:p>
        <a:p>
          <a:r>
            <a:rPr lang="de-CH" sz="1100" b="1">
              <a:solidFill>
                <a:schemeClr val="tx1"/>
              </a:solidFill>
              <a:effectLst/>
              <a:latin typeface="Verdana" panose="020B0604030504040204" pitchFamily="34" charset="0"/>
              <a:ea typeface="Verdana" panose="020B0604030504040204" pitchFamily="34" charset="0"/>
              <a:cs typeface="+mn-cs"/>
            </a:rPr>
            <a:t>Rechte der betroffenen Person </a:t>
          </a:r>
          <a:r>
            <a:rPr lang="de-CH" sz="1100">
              <a:solidFill>
                <a:schemeClr val="tx1"/>
              </a:solidFill>
              <a:effectLst/>
              <a:latin typeface="Verdana" panose="020B0604030504040204" pitchFamily="34" charset="0"/>
              <a:ea typeface="Verdana" panose="020B0604030504040204" pitchFamily="34" charset="0"/>
              <a:cs typeface="+mn-cs"/>
            </a:rPr>
            <a:t>- Recht auf Auskunft, Berichtigung, Widerspruch, Löschung, Übertragung</a:t>
          </a:r>
        </a:p>
        <a:p>
          <a:r>
            <a:rPr lang="de-CH" sz="1100" b="1">
              <a:solidFill>
                <a:schemeClr val="tx1"/>
              </a:solidFill>
              <a:effectLst/>
              <a:latin typeface="Verdana" panose="020B0604030504040204" pitchFamily="34" charset="0"/>
              <a:ea typeface="Verdana" panose="020B0604030504040204" pitchFamily="34" charset="0"/>
              <a:cs typeface="+mn-cs"/>
            </a:rPr>
            <a:t>Rechenschaftspflicht </a:t>
          </a:r>
          <a:r>
            <a:rPr lang="de-CH" sz="1100">
              <a:solidFill>
                <a:schemeClr val="tx1"/>
              </a:solidFill>
              <a:effectLst/>
              <a:latin typeface="Verdana" panose="020B0604030504040204" pitchFamily="34" charset="0"/>
              <a:ea typeface="Verdana" panose="020B0604030504040204" pitchFamily="34" charset="0"/>
              <a:cs typeface="+mn-cs"/>
            </a:rPr>
            <a:t>- es gibt keine ausreichenden Unterlagen zum Nachweis der Datenschutz-Compliance</a:t>
          </a:r>
        </a:p>
        <a:p>
          <a:r>
            <a:rPr lang="de-CH" sz="1100" b="1">
              <a:solidFill>
                <a:schemeClr val="tx1"/>
              </a:solidFill>
              <a:effectLst/>
              <a:latin typeface="Verdana" panose="020B0604030504040204" pitchFamily="34" charset="0"/>
              <a:ea typeface="Verdana" panose="020B0604030504040204" pitchFamily="34" charset="0"/>
              <a:cs typeface="+mn-cs"/>
            </a:rPr>
            <a:t>Einwilligung </a:t>
          </a:r>
          <a:r>
            <a:rPr lang="de-CH" sz="1100">
              <a:solidFill>
                <a:schemeClr val="tx1"/>
              </a:solidFill>
              <a:effectLst/>
              <a:latin typeface="Verdana" panose="020B0604030504040204" pitchFamily="34" charset="0"/>
              <a:ea typeface="Verdana" panose="020B0604030504040204" pitchFamily="34" charset="0"/>
              <a:cs typeface="+mn-cs"/>
            </a:rPr>
            <a:t>- sie erfolgte nicht freiwillig, informiert</a:t>
          </a:r>
          <a:r>
            <a:rPr lang="de-CH" sz="1100" baseline="0">
              <a:solidFill>
                <a:schemeClr val="tx1"/>
              </a:solidFill>
              <a:effectLst/>
              <a:latin typeface="Verdana" panose="020B0604030504040204" pitchFamily="34" charset="0"/>
              <a:ea typeface="Verdana" panose="020B0604030504040204" pitchFamily="34" charset="0"/>
              <a:cs typeface="+mn-cs"/>
            </a:rPr>
            <a:t> oder sonst nicht den Ansprüchen genügend</a:t>
          </a:r>
          <a:endParaRPr lang="de-CH" sz="1100">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Datenexport </a:t>
          </a:r>
          <a:r>
            <a:rPr lang="de-CH" sz="1100">
              <a:solidFill>
                <a:schemeClr val="tx1"/>
              </a:solidFill>
              <a:effectLst/>
              <a:latin typeface="Verdana" panose="020B0604030504040204" pitchFamily="34" charset="0"/>
              <a:ea typeface="Verdana" panose="020B0604030504040204" pitchFamily="34" charset="0"/>
              <a:cs typeface="+mn-cs"/>
            </a:rPr>
            <a:t>- Übermittlung von Daten in Länder ohne Datenschutz ohne angemessene Schutzmassnahmen</a:t>
          </a:r>
        </a:p>
        <a:p>
          <a:r>
            <a:rPr lang="de-CH" sz="1100" b="1">
              <a:solidFill>
                <a:schemeClr val="tx1"/>
              </a:solidFill>
              <a:effectLst/>
              <a:latin typeface="Verdana" panose="020B0604030504040204" pitchFamily="34" charset="0"/>
              <a:ea typeface="Verdana" panose="020B0604030504040204" pitchFamily="34" charset="0"/>
              <a:cs typeface="+mn-cs"/>
            </a:rPr>
            <a:t>Einsatz von Auftragsverarbeitern </a:t>
          </a:r>
          <a:r>
            <a:rPr lang="de-CH" sz="1100">
              <a:solidFill>
                <a:schemeClr val="tx1"/>
              </a:solidFill>
              <a:effectLst/>
              <a:latin typeface="Verdana" panose="020B0604030504040204" pitchFamily="34" charset="0"/>
              <a:ea typeface="Verdana" panose="020B0604030504040204" pitchFamily="34" charset="0"/>
              <a:cs typeface="+mn-cs"/>
            </a:rPr>
            <a:t>- sie werden ohne angemessenen Vertrag oder Sicherheit benutzt</a:t>
          </a:r>
        </a:p>
        <a:p>
          <a:r>
            <a:rPr lang="de-CH" sz="1100" b="1">
              <a:solidFill>
                <a:schemeClr val="tx1"/>
              </a:solidFill>
              <a:effectLst/>
              <a:latin typeface="Verdana" panose="020B0604030504040204" pitchFamily="34" charset="0"/>
              <a:ea typeface="Verdana" panose="020B0604030504040204" pitchFamily="34" charset="0"/>
              <a:cs typeface="+mn-cs"/>
            </a:rPr>
            <a:t>Gemeinsame Verantwortliche </a:t>
          </a:r>
          <a:r>
            <a:rPr lang="de-CH" sz="1100">
              <a:solidFill>
                <a:schemeClr val="tx1"/>
              </a:solidFill>
              <a:effectLst/>
              <a:latin typeface="Verdana" panose="020B0604030504040204" pitchFamily="34" charset="0"/>
              <a:ea typeface="Verdana" panose="020B0604030504040204" pitchFamily="34" charset="0"/>
              <a:cs typeface="+mn-cs"/>
            </a:rPr>
            <a:t>- gemeinsame Kontrolle ohne Zuweisung der Verantwortlichkeiten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Persönlichkeitsrechte</a:t>
          </a: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Recht am eigenen Bild oder an der eigenen Stimme </a:t>
          </a:r>
          <a:r>
            <a:rPr lang="de-CH" sz="1100">
              <a:solidFill>
                <a:schemeClr val="tx1"/>
              </a:solidFill>
              <a:effectLst/>
              <a:latin typeface="Verdana" panose="020B0604030504040204" pitchFamily="34" charset="0"/>
              <a:ea typeface="Verdana" panose="020B0604030504040204" pitchFamily="34" charset="0"/>
              <a:cs typeface="+mn-cs"/>
            </a:rPr>
            <a:t>- wenn KI-Input/Output dieses Recht verletzen kann</a:t>
          </a:r>
        </a:p>
        <a:p>
          <a:r>
            <a:rPr lang="de-CH" sz="1100" b="1">
              <a:solidFill>
                <a:schemeClr val="tx1"/>
              </a:solidFill>
              <a:effectLst/>
              <a:latin typeface="Verdana" panose="020B0604030504040204" pitchFamily="34" charset="0"/>
              <a:ea typeface="Verdana" panose="020B0604030504040204" pitchFamily="34" charset="0"/>
              <a:cs typeface="+mn-cs"/>
            </a:rPr>
            <a:t>Recht auf den eigenen Namen </a:t>
          </a:r>
          <a:r>
            <a:rPr lang="de-CH" sz="1100">
              <a:solidFill>
                <a:schemeClr val="tx1"/>
              </a:solidFill>
              <a:effectLst/>
              <a:latin typeface="Verdana" panose="020B0604030504040204" pitchFamily="34" charset="0"/>
              <a:ea typeface="Verdana" panose="020B0604030504040204" pitchFamily="34" charset="0"/>
              <a:cs typeface="+mn-cs"/>
            </a:rPr>
            <a:t>- wenn KI-Input/Output diesen verletzen kann</a:t>
          </a:r>
        </a:p>
        <a:p>
          <a:r>
            <a:rPr lang="de-CH" sz="1100" b="1">
              <a:solidFill>
                <a:schemeClr val="tx1"/>
              </a:solidFill>
              <a:effectLst/>
              <a:latin typeface="Verdana" panose="020B0604030504040204" pitchFamily="34" charset="0"/>
              <a:ea typeface="Verdana" panose="020B0604030504040204" pitchFamily="34" charset="0"/>
              <a:cs typeface="+mn-cs"/>
            </a:rPr>
            <a:t>Missbrauch der Identität anderer </a:t>
          </a:r>
          <a:r>
            <a:rPr lang="de-CH" sz="1100">
              <a:solidFill>
                <a:schemeClr val="tx1"/>
              </a:solidFill>
              <a:effectLst/>
              <a:latin typeface="Verdana" panose="020B0604030504040204" pitchFamily="34" charset="0"/>
              <a:ea typeface="Verdana" panose="020B0604030504040204" pitchFamily="34" charset="0"/>
              <a:cs typeface="+mn-cs"/>
            </a:rPr>
            <a:t>- durch Deep Fakes oder Falschdarstellungen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Urheberrecht</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Verwendung geschützter Werke Dritter </a:t>
          </a:r>
          <a:r>
            <a:rPr lang="de-CH" sz="1100">
              <a:solidFill>
                <a:schemeClr val="tx1"/>
              </a:solidFill>
              <a:effectLst/>
              <a:latin typeface="Verdana" panose="020B0604030504040204" pitchFamily="34" charset="0"/>
              <a:ea typeface="Verdana" panose="020B0604030504040204" pitchFamily="34" charset="0"/>
              <a:cs typeface="+mn-cs"/>
            </a:rPr>
            <a:t>- ohne Einwilligung oder gesetzlichen Ausnahmetatbestand</a:t>
          </a:r>
        </a:p>
        <a:p>
          <a:r>
            <a:rPr lang="de-CH" sz="1100" b="1">
              <a:solidFill>
                <a:schemeClr val="tx1"/>
              </a:solidFill>
              <a:effectLst/>
              <a:latin typeface="Verdana" panose="020B0604030504040204" pitchFamily="34" charset="0"/>
              <a:ea typeface="Verdana" panose="020B0604030504040204" pitchFamily="34" charset="0"/>
              <a:cs typeface="+mn-cs"/>
            </a:rPr>
            <a:t>Keine Offenlegung der Verwendung von KI </a:t>
          </a:r>
          <a:r>
            <a:rPr lang="de-CH" sz="1100">
              <a:solidFill>
                <a:schemeClr val="tx1"/>
              </a:solidFill>
              <a:effectLst/>
              <a:latin typeface="Verdana" panose="020B0604030504040204" pitchFamily="34" charset="0"/>
              <a:ea typeface="Verdana" panose="020B0604030504040204" pitchFamily="34" charset="0"/>
              <a:cs typeface="+mn-cs"/>
            </a:rPr>
            <a:t>- bei Verwendung von künstlich generierten</a:t>
          </a:r>
          <a:r>
            <a:rPr lang="de-CH" sz="1100" baseline="0">
              <a:solidFill>
                <a:schemeClr val="tx1"/>
              </a:solidFill>
              <a:effectLst/>
              <a:latin typeface="Verdana" panose="020B0604030504040204" pitchFamily="34" charset="0"/>
              <a:ea typeface="Verdana" panose="020B0604030504040204" pitchFamily="34" charset="0"/>
              <a:cs typeface="+mn-cs"/>
            </a:rPr>
            <a:t> Inhalten</a:t>
          </a:r>
          <a:endParaRPr lang="de-CH" sz="1100">
            <a:solidFill>
              <a:schemeClr val="tx1"/>
            </a:solidFill>
            <a:effectLst/>
            <a:latin typeface="Verdana" panose="020B0604030504040204" pitchFamily="34" charset="0"/>
            <a:ea typeface="Verdana" panose="020B0604030504040204" pitchFamily="34" charset="0"/>
            <a:cs typeface="+mn-cs"/>
          </a:endParaRP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Andere IP-Rechte</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Marken </a:t>
          </a:r>
          <a:r>
            <a:rPr lang="de-CH" sz="1100">
              <a:solidFill>
                <a:schemeClr val="tx1"/>
              </a:solidFill>
              <a:effectLst/>
              <a:latin typeface="Verdana" panose="020B0604030504040204" pitchFamily="34" charset="0"/>
              <a:ea typeface="Verdana" panose="020B0604030504040204" pitchFamily="34" charset="0"/>
              <a:cs typeface="+mn-cs"/>
            </a:rPr>
            <a:t>- Kennzeichenmässiger</a:t>
          </a:r>
          <a:r>
            <a:rPr lang="de-CH" sz="1100" baseline="0">
              <a:solidFill>
                <a:schemeClr val="tx1"/>
              </a:solidFill>
              <a:effectLst/>
              <a:latin typeface="Verdana" panose="020B0604030504040204" pitchFamily="34" charset="0"/>
              <a:ea typeface="Verdana" panose="020B0604030504040204" pitchFamily="34" charset="0"/>
              <a:cs typeface="+mn-cs"/>
            </a:rPr>
            <a:t> Gebrauch </a:t>
          </a:r>
          <a:r>
            <a:rPr lang="de-CH" sz="1100">
              <a:solidFill>
                <a:schemeClr val="tx1"/>
              </a:solidFill>
              <a:effectLst/>
              <a:latin typeface="Verdana" panose="020B0604030504040204" pitchFamily="34" charset="0"/>
              <a:ea typeface="Verdana" panose="020B0604030504040204" pitchFamily="34" charset="0"/>
              <a:cs typeface="+mn-cs"/>
            </a:rPr>
            <a:t>einer Marke ohne Erlaubnis</a:t>
          </a:r>
        </a:p>
        <a:p>
          <a:r>
            <a:rPr lang="de-CH" sz="1100" b="1">
              <a:solidFill>
                <a:schemeClr val="tx1"/>
              </a:solidFill>
              <a:effectLst/>
              <a:latin typeface="Verdana" panose="020B0604030504040204" pitchFamily="34" charset="0"/>
              <a:ea typeface="Verdana" panose="020B0604030504040204" pitchFamily="34" charset="0"/>
              <a:cs typeface="+mn-cs"/>
            </a:rPr>
            <a:t>Patente </a:t>
          </a:r>
          <a:r>
            <a:rPr lang="de-CH" sz="1100">
              <a:solidFill>
                <a:schemeClr val="tx1"/>
              </a:solidFill>
              <a:effectLst/>
              <a:latin typeface="Verdana" panose="020B0604030504040204" pitchFamily="34" charset="0"/>
              <a:ea typeface="Verdana" panose="020B0604030504040204" pitchFamily="34" charset="0"/>
              <a:cs typeface="+mn-cs"/>
            </a:rPr>
            <a:t>- unbefugte Verwendung einer geschützten technischen Erfindung</a:t>
          </a: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Amts- und Berufsgeheimnis</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Keine Weitergabe an den Anbieter </a:t>
          </a:r>
          <a:r>
            <a:rPr lang="de-CH" sz="1100">
              <a:solidFill>
                <a:schemeClr val="tx1"/>
              </a:solidFill>
              <a:effectLst/>
              <a:latin typeface="Verdana" panose="020B0604030504040204" pitchFamily="34" charset="0"/>
              <a:ea typeface="Verdana" panose="020B0604030504040204" pitchFamily="34" charset="0"/>
              <a:cs typeface="+mn-cs"/>
            </a:rPr>
            <a:t>- falls nicht zulässig oder hinreichend</a:t>
          </a:r>
          <a:r>
            <a:rPr lang="de-CH" sz="1100" baseline="0">
              <a:solidFill>
                <a:schemeClr val="tx1"/>
              </a:solidFill>
              <a:effectLst/>
              <a:latin typeface="Verdana" panose="020B0604030504040204" pitchFamily="34" charset="0"/>
              <a:ea typeface="Verdana" panose="020B0604030504040204" pitchFamily="34" charset="0"/>
              <a:cs typeface="+mn-cs"/>
            </a:rPr>
            <a:t> </a:t>
          </a:r>
          <a:r>
            <a:rPr lang="de-CH" sz="1100">
              <a:solidFill>
                <a:schemeClr val="tx1"/>
              </a:solidFill>
              <a:effectLst/>
              <a:latin typeface="Verdana" panose="020B0604030504040204" pitchFamily="34" charset="0"/>
              <a:ea typeface="Verdana" panose="020B0604030504040204" pitchFamily="34" charset="0"/>
              <a:cs typeface="+mn-cs"/>
            </a:rPr>
            <a:t>sicher</a:t>
          </a:r>
        </a:p>
        <a:p>
          <a:r>
            <a:rPr lang="de-CH" sz="1100" b="1">
              <a:solidFill>
                <a:schemeClr val="tx1"/>
              </a:solidFill>
              <a:effectLst/>
              <a:latin typeface="Verdana" panose="020B0604030504040204" pitchFamily="34" charset="0"/>
              <a:ea typeface="Verdana" panose="020B0604030504040204" pitchFamily="34" charset="0"/>
              <a:cs typeface="+mn-cs"/>
            </a:rPr>
            <a:t>Keine Verwendung für KI-Training </a:t>
          </a:r>
          <a:r>
            <a:rPr lang="de-CH" sz="1100">
              <a:solidFill>
                <a:schemeClr val="tx1"/>
              </a:solidFill>
              <a:effectLst/>
              <a:latin typeface="Verdana" panose="020B0604030504040204" pitchFamily="34" charset="0"/>
              <a:ea typeface="Verdana" panose="020B0604030504040204" pitchFamily="34" charset="0"/>
              <a:cs typeface="+mn-cs"/>
            </a:rPr>
            <a:t>- falls nicht erlaubt oder dies zu Offenbarungen führen könnte </a:t>
          </a:r>
        </a:p>
        <a:p>
          <a:r>
            <a:rPr lang="de-CH" sz="1100" b="1">
              <a:solidFill>
                <a:schemeClr val="tx1"/>
              </a:solidFill>
              <a:effectLst/>
              <a:latin typeface="Verdana" panose="020B0604030504040204" pitchFamily="34" charset="0"/>
              <a:ea typeface="Verdana" panose="020B0604030504040204" pitchFamily="34" charset="0"/>
              <a:cs typeface="+mn-cs"/>
            </a:rPr>
            <a:t>Output enthält unerwünschterweise Geheimnisse </a:t>
          </a:r>
          <a:r>
            <a:rPr lang="de-CH" sz="1100">
              <a:solidFill>
                <a:schemeClr val="tx1"/>
              </a:solidFill>
              <a:effectLst/>
              <a:latin typeface="Verdana" panose="020B0604030504040204" pitchFamily="34" charset="0"/>
              <a:ea typeface="Verdana" panose="020B0604030504040204" pitchFamily="34" charset="0"/>
              <a:cs typeface="+mn-cs"/>
            </a:rPr>
            <a:t>- Verletzung der Geheimhaltungspflicht</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Nichtdiskriminierung/Verbraucherschutz</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Diskriminierungsverbote </a:t>
          </a:r>
          <a:r>
            <a:rPr lang="de-CH" sz="1100">
              <a:solidFill>
                <a:schemeClr val="tx1"/>
              </a:solidFill>
              <a:effectLst/>
              <a:latin typeface="Verdana" panose="020B0604030504040204" pitchFamily="34" charset="0"/>
              <a:ea typeface="Verdana" panose="020B0604030504040204" pitchFamily="34" charset="0"/>
              <a:cs typeface="+mn-cs"/>
            </a:rPr>
            <a:t>- z.B. wenn Entscheide auf voreingenommenen Ergebnissen beruhen</a:t>
          </a:r>
        </a:p>
        <a:p>
          <a:r>
            <a:rPr lang="de-CH" sz="1100" b="1">
              <a:solidFill>
                <a:schemeClr val="tx1"/>
              </a:solidFill>
              <a:effectLst/>
              <a:latin typeface="Verdana" panose="020B0604030504040204" pitchFamily="34" charset="0"/>
              <a:ea typeface="Verdana" panose="020B0604030504040204" pitchFamily="34" charset="0"/>
              <a:cs typeface="+mn-cs"/>
            </a:rPr>
            <a:t>Verbraucherschutzrecht </a:t>
          </a:r>
          <a:r>
            <a:rPr lang="de-CH" sz="1100">
              <a:solidFill>
                <a:schemeClr val="tx1"/>
              </a:solidFill>
              <a:effectLst/>
              <a:latin typeface="Verdana" panose="020B0604030504040204" pitchFamily="34" charset="0"/>
              <a:ea typeface="Verdana" panose="020B0604030504040204" pitchFamily="34" charset="0"/>
              <a:cs typeface="+mn-cs"/>
            </a:rPr>
            <a:t>- z.B. wenn Verbraucher gezwungen werden, mit einer KI zu interagieren</a:t>
          </a:r>
        </a:p>
        <a:p>
          <a:r>
            <a:rPr lang="de-CH" sz="1100" b="1">
              <a:solidFill>
                <a:schemeClr val="tx1"/>
              </a:solidFill>
              <a:effectLst/>
              <a:latin typeface="Verdana" panose="020B0604030504040204" pitchFamily="34" charset="0"/>
              <a:ea typeface="Verdana" panose="020B0604030504040204" pitchFamily="34" charset="0"/>
              <a:cs typeface="+mn-cs"/>
            </a:rPr>
            <a:t>Zugänglichkeit </a:t>
          </a:r>
          <a:r>
            <a:rPr lang="de-CH" sz="1100">
              <a:solidFill>
                <a:schemeClr val="tx1"/>
              </a:solidFill>
              <a:effectLst/>
              <a:latin typeface="Verdana" panose="020B0604030504040204" pitchFamily="34" charset="0"/>
              <a:ea typeface="Verdana" panose="020B0604030504040204" pitchFamily="34" charset="0"/>
              <a:cs typeface="+mn-cs"/>
            </a:rPr>
            <a:t>- z.B. die Bereitstellung von KI-Systemen für Menschen mit Behinderungen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Unlauterer Wettbewerb</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Verletzung von Geschäftsgeheimnissen - </a:t>
          </a:r>
          <a:r>
            <a:rPr lang="de-CH" sz="1100">
              <a:solidFill>
                <a:schemeClr val="tx1"/>
              </a:solidFill>
              <a:effectLst/>
              <a:latin typeface="Verdana" panose="020B0604030504040204" pitchFamily="34" charset="0"/>
              <a:ea typeface="Verdana" panose="020B0604030504040204" pitchFamily="34" charset="0"/>
              <a:cs typeface="+mn-cs"/>
            </a:rPr>
            <a:t>Verwertung/Offenlegung von Geschäftsgeheimnissen an Dritte</a:t>
          </a:r>
        </a:p>
        <a:p>
          <a:r>
            <a:rPr lang="de-CH" sz="1100" b="1">
              <a:solidFill>
                <a:schemeClr val="tx1"/>
              </a:solidFill>
              <a:effectLst/>
              <a:latin typeface="Verdana" panose="020B0604030504040204" pitchFamily="34" charset="0"/>
              <a:ea typeface="Verdana" panose="020B0604030504040204" pitchFamily="34" charset="0"/>
              <a:cs typeface="+mn-cs"/>
            </a:rPr>
            <a:t>Nutzung von Arbeitsergebnissen Dritter </a:t>
          </a:r>
          <a:r>
            <a:rPr lang="de-CH" sz="1100">
              <a:solidFill>
                <a:schemeClr val="tx1"/>
              </a:solidFill>
              <a:effectLst/>
              <a:latin typeface="Verdana" panose="020B0604030504040204" pitchFamily="34" charset="0"/>
              <a:ea typeface="Verdana" panose="020B0604030504040204" pitchFamily="34" charset="0"/>
              <a:cs typeface="+mn-cs"/>
            </a:rPr>
            <a:t>- ohne entsprechende eigenen Investitionen</a:t>
          </a:r>
        </a:p>
        <a:p>
          <a:r>
            <a:rPr lang="de-CH" sz="1100" b="1">
              <a:solidFill>
                <a:schemeClr val="tx1"/>
              </a:solidFill>
              <a:effectLst/>
              <a:latin typeface="Verdana" panose="020B0604030504040204" pitchFamily="34" charset="0"/>
              <a:ea typeface="Verdana" panose="020B0604030504040204" pitchFamily="34" charset="0"/>
              <a:cs typeface="+mn-cs"/>
            </a:rPr>
            <a:t>Täuschung </a:t>
          </a:r>
          <a:r>
            <a:rPr lang="de-CH" sz="1100">
              <a:solidFill>
                <a:schemeClr val="tx1"/>
              </a:solidFill>
              <a:effectLst/>
              <a:latin typeface="Verdana" panose="020B0604030504040204" pitchFamily="34" charset="0"/>
              <a:ea typeface="Verdana" panose="020B0604030504040204" pitchFamily="34" charset="0"/>
              <a:cs typeface="+mn-cs"/>
            </a:rPr>
            <a:t>- mangelnde Transparenz beim Einsatz von KI,</a:t>
          </a:r>
          <a:r>
            <a:rPr lang="de-CH" sz="1100" baseline="0">
              <a:solidFill>
                <a:schemeClr val="tx1"/>
              </a:solidFill>
              <a:effectLst/>
              <a:latin typeface="Verdana" panose="020B0604030504040204" pitchFamily="34" charset="0"/>
              <a:ea typeface="Verdana" panose="020B0604030504040204" pitchFamily="34" charset="0"/>
              <a:cs typeface="+mn-cs"/>
            </a:rPr>
            <a:t> so dass Dritte getäuscht werden</a:t>
          </a:r>
          <a:endParaRPr lang="de-CH" sz="1100">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Irreführung </a:t>
          </a:r>
          <a:r>
            <a:rPr lang="de-CH" sz="1100">
              <a:solidFill>
                <a:schemeClr val="tx1"/>
              </a:solidFill>
              <a:effectLst/>
              <a:latin typeface="Verdana" panose="020B0604030504040204" pitchFamily="34" charset="0"/>
              <a:ea typeface="Verdana" panose="020B0604030504040204" pitchFamily="34" charset="0"/>
              <a:cs typeface="+mn-cs"/>
            </a:rPr>
            <a:t>- z.B. von Kunden durch falsche, irreführende oder fehlende Informationen</a:t>
          </a:r>
        </a:p>
        <a:p>
          <a:r>
            <a:rPr lang="de-CH" sz="1100" b="1">
              <a:solidFill>
                <a:schemeClr val="tx1"/>
              </a:solidFill>
              <a:effectLst/>
              <a:latin typeface="Verdana" panose="020B0604030504040204" pitchFamily="34" charset="0"/>
              <a:ea typeface="Verdana" panose="020B0604030504040204" pitchFamily="34" charset="0"/>
              <a:cs typeface="+mn-cs"/>
            </a:rPr>
            <a:t>Schädigung anderer </a:t>
          </a:r>
          <a:r>
            <a:rPr lang="de-CH" sz="1100">
              <a:solidFill>
                <a:schemeClr val="tx1"/>
              </a:solidFill>
              <a:effectLst/>
              <a:latin typeface="Verdana" panose="020B0604030504040204" pitchFamily="34" charset="0"/>
              <a:ea typeface="Verdana" panose="020B0604030504040204" pitchFamily="34" charset="0"/>
              <a:cs typeface="+mn-cs"/>
            </a:rPr>
            <a:t>- durch Verunglimpfung oder irreführende Informationen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Kartellrecht</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Kartellrecht </a:t>
          </a:r>
          <a:r>
            <a:rPr lang="de-CH" sz="1100">
              <a:solidFill>
                <a:schemeClr val="tx1"/>
              </a:solidFill>
              <a:effectLst/>
              <a:latin typeface="Verdana" panose="020B0604030504040204" pitchFamily="34" charset="0"/>
              <a:ea typeface="Verdana" panose="020B0604030504040204" pitchFamily="34" charset="0"/>
              <a:cs typeface="+mn-cs"/>
            </a:rPr>
            <a:t>- illegalen Absprachen zwischen Marktteilnehmern (z.B. bei Preisen)</a:t>
          </a:r>
        </a:p>
        <a:p>
          <a:r>
            <a:rPr lang="de-CH" sz="1100" b="1">
              <a:solidFill>
                <a:schemeClr val="tx1"/>
              </a:solidFill>
              <a:effectLst/>
              <a:latin typeface="Verdana" panose="020B0604030504040204" pitchFamily="34" charset="0"/>
              <a:ea typeface="Verdana" panose="020B0604030504040204" pitchFamily="34" charset="0"/>
              <a:cs typeface="+mn-cs"/>
            </a:rPr>
            <a:t>Missbräuchliches Verhalten </a:t>
          </a:r>
          <a:r>
            <a:rPr lang="de-CH" sz="1100">
              <a:solidFill>
                <a:schemeClr val="tx1"/>
              </a:solidFill>
              <a:effectLst/>
              <a:latin typeface="Verdana" panose="020B0604030504040204" pitchFamily="34" charset="0"/>
              <a:ea typeface="Verdana" panose="020B0604030504040204" pitchFamily="34" charset="0"/>
              <a:cs typeface="+mn-cs"/>
            </a:rPr>
            <a:t>- Marktteilnehmer, die ihre Vormachtstellung missbrauchen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Vertragliche Pflichten</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Vertraulichkeit - </a:t>
          </a:r>
          <a:r>
            <a:rPr lang="de-CH" sz="1100">
              <a:solidFill>
                <a:schemeClr val="tx1"/>
              </a:solidFill>
              <a:effectLst/>
              <a:latin typeface="Verdana" panose="020B0604030504040204" pitchFamily="34" charset="0"/>
              <a:ea typeface="Verdana" panose="020B0604030504040204" pitchFamily="34" charset="0"/>
              <a:cs typeface="+mn-cs"/>
            </a:rPr>
            <a:t>Verpflichtung zur Geheimhaltung von Informationen (auch in Bezug auf Provider)</a:t>
          </a:r>
        </a:p>
        <a:p>
          <a:r>
            <a:rPr lang="de-CH" sz="1100" b="1">
              <a:solidFill>
                <a:schemeClr val="tx1"/>
              </a:solidFill>
              <a:effectLst/>
              <a:latin typeface="Verdana" panose="020B0604030504040204" pitchFamily="34" charset="0"/>
              <a:ea typeface="Verdana" panose="020B0604030504040204" pitchFamily="34" charset="0"/>
              <a:cs typeface="+mn-cs"/>
            </a:rPr>
            <a:t>Arbeitsrecht </a:t>
          </a:r>
          <a:r>
            <a:rPr lang="de-CH" sz="1100">
              <a:solidFill>
                <a:schemeClr val="tx1"/>
              </a:solidFill>
              <a:effectLst/>
              <a:latin typeface="Verdana" panose="020B0604030504040204" pitchFamily="34" charset="0"/>
              <a:ea typeface="Verdana" panose="020B0604030504040204" pitchFamily="34" charset="0"/>
              <a:cs typeface="+mn-cs"/>
            </a:rPr>
            <a:t>- Fürsorgepflicht, Tarifverträge, Konsultation von Arbeitnehmern und deren Vertretung</a:t>
          </a:r>
        </a:p>
        <a:p>
          <a:r>
            <a:rPr lang="de-CH" sz="1100" b="1">
              <a:solidFill>
                <a:schemeClr val="tx1"/>
              </a:solidFill>
              <a:effectLst/>
              <a:latin typeface="Verdana" panose="020B0604030504040204" pitchFamily="34" charset="0"/>
              <a:ea typeface="Verdana" panose="020B0604030504040204" pitchFamily="34" charset="0"/>
              <a:cs typeface="+mn-cs"/>
            </a:rPr>
            <a:t>Verbotene Verwendung </a:t>
          </a:r>
          <a:r>
            <a:rPr lang="de-CH" sz="1100">
              <a:solidFill>
                <a:schemeClr val="tx1"/>
              </a:solidFill>
              <a:effectLst/>
              <a:latin typeface="Verdana" panose="020B0604030504040204" pitchFamily="34" charset="0"/>
              <a:ea typeface="Verdana" panose="020B0604030504040204" pitchFamily="34" charset="0"/>
              <a:cs typeface="+mn-cs"/>
            </a:rPr>
            <a:t>- Verträge, welche die Nutzung von AI einschränken (z.B. für bestimmte Inhalte) </a:t>
          </a:r>
        </a:p>
        <a:p>
          <a:r>
            <a:rPr lang="de-CH" sz="1100" b="1">
              <a:solidFill>
                <a:schemeClr val="tx1"/>
              </a:solidFill>
              <a:effectLst/>
              <a:latin typeface="Verdana" panose="020B0604030504040204" pitchFamily="34" charset="0"/>
              <a:ea typeface="Verdana" panose="020B0604030504040204" pitchFamily="34" charset="0"/>
              <a:cs typeface="+mn-cs"/>
            </a:rPr>
            <a:t>Informationspflicht - </a:t>
          </a:r>
          <a:r>
            <a:rPr lang="de-CH" sz="1100" b="0">
              <a:solidFill>
                <a:schemeClr val="tx1"/>
              </a:solidFill>
              <a:effectLst/>
              <a:latin typeface="Verdana" panose="020B0604030504040204" pitchFamily="34" charset="0"/>
              <a:ea typeface="Verdana" panose="020B0604030504040204" pitchFamily="34" charset="0"/>
              <a:cs typeface="+mn-cs"/>
            </a:rPr>
            <a:t>wo der </a:t>
          </a:r>
          <a:r>
            <a:rPr lang="de-CH" sz="1100">
              <a:solidFill>
                <a:schemeClr val="tx1"/>
              </a:solidFill>
              <a:effectLst/>
              <a:latin typeface="Verdana" panose="020B0604030504040204" pitchFamily="34" charset="0"/>
              <a:ea typeface="Verdana" panose="020B0604030504040204" pitchFamily="34" charset="0"/>
              <a:cs typeface="+mn-cs"/>
            </a:rPr>
            <a:t>Einsatz von AI oder Verwendung bestimmter Inhalte angezeigt werden muss</a:t>
          </a:r>
        </a:p>
        <a:p>
          <a:r>
            <a:rPr lang="de-CH" sz="1100" b="1">
              <a:solidFill>
                <a:schemeClr val="tx1"/>
              </a:solidFill>
              <a:effectLst/>
              <a:latin typeface="Verdana" panose="020B0604030504040204" pitchFamily="34" charset="0"/>
              <a:ea typeface="Verdana" panose="020B0604030504040204" pitchFamily="34" charset="0"/>
              <a:cs typeface="+mn-cs"/>
            </a:rPr>
            <a:t>Zustimmung erforderlich </a:t>
          </a:r>
          <a:r>
            <a:rPr lang="de-CH" sz="1100" b="0">
              <a:solidFill>
                <a:schemeClr val="tx1"/>
              </a:solidFill>
              <a:effectLst/>
              <a:latin typeface="Verdana" panose="020B0604030504040204" pitchFamily="34" charset="0"/>
              <a:ea typeface="Verdana" panose="020B0604030504040204" pitchFamily="34" charset="0"/>
              <a:cs typeface="+mn-cs"/>
            </a:rPr>
            <a:t>- wo die </a:t>
          </a:r>
          <a:r>
            <a:rPr lang="de-CH" sz="1100">
              <a:solidFill>
                <a:schemeClr val="tx1"/>
              </a:solidFill>
              <a:effectLst/>
              <a:latin typeface="Verdana" panose="020B0604030504040204" pitchFamily="34" charset="0"/>
              <a:ea typeface="Verdana" panose="020B0604030504040204" pitchFamily="34" charset="0"/>
              <a:cs typeface="+mn-cs"/>
            </a:rPr>
            <a:t>Verwendung von KI oder bestimmter Inhalte die Zustimmung</a:t>
          </a:r>
          <a:r>
            <a:rPr lang="de-CH" sz="1100" baseline="0">
              <a:solidFill>
                <a:schemeClr val="tx1"/>
              </a:solidFill>
              <a:effectLst/>
              <a:latin typeface="Verdana" panose="020B0604030504040204" pitchFamily="34" charset="0"/>
              <a:ea typeface="Verdana" panose="020B0604030504040204" pitchFamily="34" charset="0"/>
              <a:cs typeface="+mn-cs"/>
            </a:rPr>
            <a:t> erfordert</a:t>
          </a:r>
          <a:endParaRPr lang="de-CH" sz="1100">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Konkurrenzverbote </a:t>
          </a:r>
          <a:r>
            <a:rPr lang="de-CH" sz="1100">
              <a:solidFill>
                <a:schemeClr val="tx1"/>
              </a:solidFill>
              <a:effectLst/>
              <a:latin typeface="Verdana" panose="020B0604030504040204" pitchFamily="34" charset="0"/>
              <a:ea typeface="Verdana" panose="020B0604030504040204" pitchFamily="34" charset="0"/>
              <a:cs typeface="+mn-cs"/>
            </a:rPr>
            <a:t>- zwischen Vertragsparteien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Unternehmensführung</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Schaden für das Unternehmen </a:t>
          </a:r>
          <a:r>
            <a:rPr lang="de-CH" sz="1100">
              <a:solidFill>
                <a:schemeClr val="tx1"/>
              </a:solidFill>
              <a:effectLst/>
              <a:latin typeface="Verdana" panose="020B0604030504040204" pitchFamily="34" charset="0"/>
              <a:ea typeface="Verdana" panose="020B0604030504040204" pitchFamily="34" charset="0"/>
              <a:cs typeface="+mn-cs"/>
            </a:rPr>
            <a:t>- selbstverschuldeter Schaden (z. B. falsche Entscheide aufgrund von KI)</a:t>
          </a:r>
        </a:p>
        <a:p>
          <a:r>
            <a:rPr lang="de-CH" sz="1100" b="1">
              <a:solidFill>
                <a:schemeClr val="tx1"/>
              </a:solidFill>
              <a:effectLst/>
              <a:latin typeface="Verdana" panose="020B0604030504040204" pitchFamily="34" charset="0"/>
              <a:ea typeface="Verdana" panose="020B0604030504040204" pitchFamily="34" charset="0"/>
              <a:cs typeface="+mn-cs"/>
            </a:rPr>
            <a:t>Kostenüberschreitungen </a:t>
          </a:r>
          <a:r>
            <a:rPr lang="de-CH" sz="1100">
              <a:solidFill>
                <a:schemeClr val="tx1"/>
              </a:solidFill>
              <a:effectLst/>
              <a:latin typeface="Verdana" panose="020B0604030504040204" pitchFamily="34" charset="0"/>
              <a:ea typeface="Verdana" panose="020B0604030504040204" pitchFamily="34" charset="0"/>
              <a:cs typeface="+mn-cs"/>
            </a:rPr>
            <a:t>- Kosten, die viel höher als erwartet ausfallen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xdr:txBody>
    </xdr:sp>
    <xdr:clientData/>
  </xdr:oneCellAnchor>
  <xdr:twoCellAnchor editAs="oneCell">
    <xdr:from>
      <xdr:col>9</xdr:col>
      <xdr:colOff>280531</xdr:colOff>
      <xdr:row>261</xdr:row>
      <xdr:rowOff>161980</xdr:rowOff>
    </xdr:from>
    <xdr:to>
      <xdr:col>11</xdr:col>
      <xdr:colOff>121420</xdr:colOff>
      <xdr:row>263</xdr:row>
      <xdr:rowOff>317466</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45711" y="110446240"/>
          <a:ext cx="1166770" cy="521245"/>
        </a:xfrm>
        <a:prstGeom prst="rect">
          <a:avLst/>
        </a:prstGeom>
      </xdr:spPr>
    </xdr:pic>
    <xdr:clientData/>
  </xdr:twoCellAnchor>
  <xdr:oneCellAnchor>
    <xdr:from>
      <xdr:col>9</xdr:col>
      <xdr:colOff>174787</xdr:colOff>
      <xdr:row>22</xdr:row>
      <xdr:rowOff>1184656</xdr:rowOff>
    </xdr:from>
    <xdr:ext cx="2116455" cy="3614964"/>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11469804" y="6997627"/>
          <a:ext cx="2116455" cy="3614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400" b="1">
              <a:latin typeface="Verdana" panose="020B0604030504040204" pitchFamily="34" charset="0"/>
              <a:ea typeface="Verdana" panose="020B0604030504040204" pitchFamily="34" charset="0"/>
            </a:rPr>
            <a:t>Ethik</a:t>
          </a:r>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Was über die gesetzlichen Vorschriften hinausgehen und von den Stakeholdern von jedem Unternehmen erwarten (aber von Unternehmen zu Unternehmen anders ist)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KI-Regulierung</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EU AI Act </a:t>
          </a:r>
          <a:r>
            <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(hierzu gibt es hier mehrere separate Arbeitsblätter) </a:t>
          </a:r>
        </a:p>
        <a:p>
          <a:pPr marL="0" marR="0" lvl="0" indent="0" defTabSz="914400" eaLnBrk="1" fontAlgn="auto" latinLnBrk="0" hangingPunct="1">
            <a:lnSpc>
              <a:spcPct val="100000"/>
            </a:lnSpc>
            <a:spcBef>
              <a:spcPts val="0"/>
            </a:spcBef>
            <a:spcAft>
              <a:spcPts val="0"/>
            </a:spcAft>
            <a:buClrTx/>
            <a:buSzTx/>
            <a:buFontTx/>
            <a:buNone/>
            <a:tabLst/>
            <a:defRPr/>
          </a:pPr>
          <a:b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b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KI Convention des Europarats </a:t>
          </a:r>
          <a:r>
            <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(finaler Text liegt vor)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xdr:txBody>
    </xdr:sp>
    <xdr:clientData/>
  </xdr:oneCellAnchor>
  <xdr:twoCellAnchor editAs="oneCell">
    <xdr:from>
      <xdr:col>9</xdr:col>
      <xdr:colOff>0</xdr:colOff>
      <xdr:row>264</xdr:row>
      <xdr:rowOff>0</xdr:rowOff>
    </xdr:from>
    <xdr:to>
      <xdr:col>9</xdr:col>
      <xdr:colOff>304800</xdr:colOff>
      <xdr:row>264</xdr:row>
      <xdr:rowOff>304800</xdr:rowOff>
    </xdr:to>
    <xdr:sp macro="" textlink="">
      <xdr:nvSpPr>
        <xdr:cNvPr id="6" name="AutoShape 5">
          <a:extLst>
            <a:ext uri="{FF2B5EF4-FFF2-40B4-BE49-F238E27FC236}">
              <a16:creationId xmlns:a16="http://schemas.microsoft.com/office/drawing/2014/main" id="{00000000-0008-0000-0400-000006000000}"/>
            </a:ext>
          </a:extLst>
        </xdr:cNvPr>
        <xdr:cNvSpPr>
          <a:spLocks noChangeAspect="1" noChangeArrowheads="1"/>
        </xdr:cNvSpPr>
      </xdr:nvSpPr>
      <xdr:spPr bwMode="auto">
        <a:xfrm>
          <a:off x="10965180" y="11103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372463</xdr:colOff>
      <xdr:row>264</xdr:row>
      <xdr:rowOff>120869</xdr:rowOff>
    </xdr:from>
    <xdr:to>
      <xdr:col>11</xdr:col>
      <xdr:colOff>14536</xdr:colOff>
      <xdr:row>264</xdr:row>
      <xdr:rowOff>462455</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11337643" y="111159509"/>
          <a:ext cx="967954" cy="341586"/>
        </a:xfrm>
        <a:prstGeom prst="rect">
          <a:avLst/>
        </a:prstGeom>
        <a:ln>
          <a:noFill/>
        </a:ln>
      </xdr:spPr>
    </xdr:pic>
    <xdr:clientData/>
  </xdr:twoCellAnchor>
  <xdr:twoCellAnchor>
    <xdr:from>
      <xdr:col>9</xdr:col>
      <xdr:colOff>139903</xdr:colOff>
      <xdr:row>85</xdr:row>
      <xdr:rowOff>45953</xdr:rowOff>
    </xdr:from>
    <xdr:to>
      <xdr:col>14</xdr:col>
      <xdr:colOff>1480407</xdr:colOff>
      <xdr:row>96</xdr:row>
      <xdr:rowOff>2098086</xdr:rowOff>
    </xdr:to>
    <xdr:graphicFrame macro="">
      <xdr:nvGraphicFramePr>
        <xdr:cNvPr id="8" name="Diagramm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14</xdr:col>
      <xdr:colOff>15023</xdr:colOff>
      <xdr:row>96</xdr:row>
      <xdr:rowOff>1028855</xdr:rowOff>
    </xdr:from>
    <xdr:ext cx="1401677" cy="342786"/>
    <xdr:sp macro="" textlink="">
      <xdr:nvSpPr>
        <xdr:cNvPr id="9" name="Textfeld 8">
          <a:extLst>
            <a:ext uri="{FF2B5EF4-FFF2-40B4-BE49-F238E27FC236}">
              <a16:creationId xmlns:a16="http://schemas.microsoft.com/office/drawing/2014/main" id="{00000000-0008-0000-0400-000009000000}"/>
            </a:ext>
          </a:extLst>
        </xdr:cNvPr>
        <xdr:cNvSpPr txBox="1"/>
      </xdr:nvSpPr>
      <xdr:spPr>
        <a:xfrm>
          <a:off x="14294903" y="30670655"/>
          <a:ext cx="14016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US" sz="800">
              <a:solidFill>
                <a:schemeClr val="bg2">
                  <a:lumMod val="50000"/>
                </a:schemeClr>
              </a:solidFill>
            </a:rPr>
            <a:t>Der äussere Rahmen</a:t>
          </a:r>
          <a:br>
            <a:rPr lang="en-US" sz="800" baseline="0">
              <a:solidFill>
                <a:schemeClr val="bg2">
                  <a:lumMod val="50000"/>
                </a:schemeClr>
              </a:solidFill>
            </a:rPr>
          </a:br>
          <a:r>
            <a:rPr lang="en-US" sz="800" baseline="0">
              <a:solidFill>
                <a:schemeClr val="bg2">
                  <a:lumMod val="50000"/>
                </a:schemeClr>
              </a:solidFill>
            </a:rPr>
            <a:t>stellt das maximale Risiko dar</a:t>
          </a:r>
          <a:endParaRPr lang="en-US" sz="800">
            <a:solidFill>
              <a:schemeClr val="bg2">
                <a:lumMod val="50000"/>
              </a:schemeClr>
            </a:solidFill>
          </a:endParaRPr>
        </a:p>
      </xdr:txBody>
    </xdr:sp>
    <xdr:clientData/>
  </xdr:oneCellAnchor>
  <xdr:oneCellAnchor>
    <xdr:from>
      <xdr:col>6</xdr:col>
      <xdr:colOff>158264</xdr:colOff>
      <xdr:row>11</xdr:row>
      <xdr:rowOff>128954</xdr:rowOff>
    </xdr:from>
    <xdr:ext cx="1418490" cy="640240"/>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9134624" y="3100754"/>
          <a:ext cx="1418490"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Dies dient dazu, die Betrachtung einzugrenzen (z.B. können Sie die Infrastruktur ausklammern wenn Sie nur die darauf laufende Anwendung betrachten wollen)</a:t>
          </a:r>
        </a:p>
      </xdr:txBody>
    </xdr:sp>
    <xdr:clientData/>
  </xdr:oneCellAnchor>
  <xdr:twoCellAnchor>
    <xdr:from>
      <xdr:col>6</xdr:col>
      <xdr:colOff>123091</xdr:colOff>
      <xdr:row>11</xdr:row>
      <xdr:rowOff>164124</xdr:rowOff>
    </xdr:from>
    <xdr:to>
      <xdr:col>6</xdr:col>
      <xdr:colOff>193429</xdr:colOff>
      <xdr:row>14</xdr:row>
      <xdr:rowOff>111370</xdr:rowOff>
    </xdr:to>
    <xdr:sp macro="" textlink="">
      <xdr:nvSpPr>
        <xdr:cNvPr id="12" name="Geschweifte Klammer rechts 11">
          <a:extLst>
            <a:ext uri="{FF2B5EF4-FFF2-40B4-BE49-F238E27FC236}">
              <a16:creationId xmlns:a16="http://schemas.microsoft.com/office/drawing/2014/main" id="{00000000-0008-0000-0400-00000C000000}"/>
            </a:ext>
          </a:extLst>
        </xdr:cNvPr>
        <xdr:cNvSpPr/>
      </xdr:nvSpPr>
      <xdr:spPr>
        <a:xfrm>
          <a:off x="9099451" y="3135924"/>
          <a:ext cx="70338" cy="526366"/>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22</xdr:col>
      <xdr:colOff>17586</xdr:colOff>
      <xdr:row>196</xdr:row>
      <xdr:rowOff>29307</xdr:rowOff>
    </xdr:from>
    <xdr:to>
      <xdr:col>27</xdr:col>
      <xdr:colOff>783091</xdr:colOff>
      <xdr:row>207</xdr:row>
      <xdr:rowOff>15765</xdr:rowOff>
    </xdr:to>
    <xdr:sp macro="" textlink="">
      <xdr:nvSpPr>
        <xdr:cNvPr id="13" name="Textfeld 12">
          <a:extLst>
            <a:ext uri="{FF2B5EF4-FFF2-40B4-BE49-F238E27FC236}">
              <a16:creationId xmlns:a16="http://schemas.microsoft.com/office/drawing/2014/main" id="{00000000-0008-0000-0400-00000D000000}"/>
            </a:ext>
          </a:extLst>
        </xdr:cNvPr>
        <xdr:cNvSpPr txBox="1"/>
      </xdr:nvSpPr>
      <xdr:spPr>
        <a:xfrm>
          <a:off x="22831866" y="81319467"/>
          <a:ext cx="4689805" cy="2523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a:t>Mehr über die Delphi-Methode: https://en.wikipedia.org/wiki/Delphi_method</a:t>
          </a:r>
        </a:p>
        <a:p>
          <a:endParaRPr lang="de-CH" sz="1000"/>
        </a:p>
        <a:p>
          <a:r>
            <a:rPr lang="de-CH" sz="1000"/>
            <a:t>Wie man "Delphi" benutzt:</a:t>
          </a:r>
        </a:p>
        <a:p>
          <a:endParaRPr lang="de-CH" sz="1000"/>
        </a:p>
        <a:p>
          <a:r>
            <a:rPr lang="de-CH" sz="1000"/>
            <a:t>1. Geben Sie die Anzahl der Teilnehmer in das entsprechende Feld ein (AG96).</a:t>
          </a:r>
        </a:p>
        <a:p>
          <a:r>
            <a:rPr lang="de-CH" sz="1000"/>
            <a:t>2. Gehen Sie zu der Zeile, für die Sie versuchen, einen Wert zu ermitteln.</a:t>
          </a:r>
        </a:p>
        <a:p>
          <a:r>
            <a:rPr lang="de-CH" sz="1000"/>
            <a:t>3. Lassen Sie jeden Teilnehmer an einen geeigneten Wert denken.</a:t>
          </a:r>
        </a:p>
        <a:p>
          <a:r>
            <a:rPr lang="de-CH" sz="1000"/>
            <a:t>4. Tragen Sie den Wert eines jeden Teilnehmers in die Spalten W-AA ein; diskutieren Sie noch nicht.</a:t>
          </a:r>
        </a:p>
        <a:p>
          <a:r>
            <a:rPr lang="de-CH" sz="1000"/>
            <a:t>5. Wenn Sie fertig sind, diskutieren Sie die Werte, d.h. warum jede Person gesagt hat, was sie gesagt hat.</a:t>
          </a:r>
        </a:p>
        <a:p>
          <a:r>
            <a:rPr lang="de-CH" sz="1000"/>
            <a:t>6. Danach soll sich jeder Teilnehmer wieder einen passenden Wert ausdenken.</a:t>
          </a:r>
        </a:p>
        <a:p>
          <a:r>
            <a:rPr lang="de-CH" sz="1000"/>
            <a:t>7. Tragen Sie diese in die Spalten AB-AF ein. Der Durchschnitt in der Spalte AG ist der zu verwendende Wert.</a:t>
          </a:r>
        </a:p>
        <a:p>
          <a:r>
            <a:rPr lang="de-CH" sz="1000"/>
            <a:t>8. Fahren Sie mit der nächsten Zeile fort und wiederholen Sie die Schritte 3-7.</a:t>
          </a:r>
          <a:endParaRPr lang="de-CH" sz="1000" baseline="0"/>
        </a:p>
      </xdr:txBody>
    </xdr:sp>
    <xdr:clientData/>
  </xdr:twoCellAnchor>
  <mc:AlternateContent xmlns:mc="http://schemas.openxmlformats.org/markup-compatibility/2006">
    <mc:Choice xmlns:a14="http://schemas.microsoft.com/office/drawing/2010/main" Requires="a14">
      <xdr:twoCellAnchor editAs="oneCell">
        <xdr:from>
          <xdr:col>2</xdr:col>
          <xdr:colOff>2202180</xdr:colOff>
          <xdr:row>39</xdr:row>
          <xdr:rowOff>144780</xdr:rowOff>
        </xdr:from>
        <xdr:to>
          <xdr:col>3</xdr:col>
          <xdr:colOff>1165860</xdr:colOff>
          <xdr:row>41</xdr:row>
          <xdr:rowOff>15240</xdr:rowOff>
        </xdr:to>
        <xdr:sp macro="" textlink="">
          <xdr:nvSpPr>
            <xdr:cNvPr id="25601" name="Option Button 1" hidden="1">
              <a:extLst>
                <a:ext uri="{63B3BB69-23CF-44E3-9099-C40C66FF867C}">
                  <a14:compatExt spid="_x0000_s25601"/>
                </a:ext>
                <a:ext uri="{FF2B5EF4-FFF2-40B4-BE49-F238E27FC236}">
                  <a16:creationId xmlns:a16="http://schemas.microsoft.com/office/drawing/2014/main" id="{00000000-0008-0000-0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Verbotene KI-Praktik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39</xdr:row>
          <xdr:rowOff>175260</xdr:rowOff>
        </xdr:from>
        <xdr:to>
          <xdr:col>3</xdr:col>
          <xdr:colOff>2407920</xdr:colOff>
          <xdr:row>40</xdr:row>
          <xdr:rowOff>205740</xdr:rowOff>
        </xdr:to>
        <xdr:sp macro="" textlink="">
          <xdr:nvSpPr>
            <xdr:cNvPr id="25602" name="Option Button 2" hidden="1">
              <a:extLst>
                <a:ext uri="{63B3BB69-23CF-44E3-9099-C40C66FF867C}">
                  <a14:compatExt spid="_x0000_s25602"/>
                </a:ext>
                <a:ext uri="{FF2B5EF4-FFF2-40B4-BE49-F238E27FC236}">
                  <a16:creationId xmlns:a16="http://schemas.microsoft.com/office/drawing/2014/main" id="{00000000-0008-0000-0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Hochrisiko KI-System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39</xdr:row>
          <xdr:rowOff>152400</xdr:rowOff>
        </xdr:from>
        <xdr:to>
          <xdr:col>4</xdr:col>
          <xdr:colOff>1082040</xdr:colOff>
          <xdr:row>41</xdr:row>
          <xdr:rowOff>15240</xdr:rowOff>
        </xdr:to>
        <xdr:sp macro="" textlink="">
          <xdr:nvSpPr>
            <xdr:cNvPr id="25603" name="Option Button 3" hidden="1">
              <a:extLst>
                <a:ext uri="{63B3BB69-23CF-44E3-9099-C40C66FF867C}">
                  <a14:compatExt spid="_x0000_s25603"/>
                </a:ext>
                <a:ext uri="{FF2B5EF4-FFF2-40B4-BE49-F238E27FC236}">
                  <a16:creationId xmlns:a16="http://schemas.microsoft.com/office/drawing/2014/main" id="{00000000-0008-0000-0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Anderes KI-System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2011680</xdr:colOff>
          <xdr:row>39</xdr:row>
          <xdr:rowOff>175260</xdr:rowOff>
        </xdr:from>
        <xdr:to>
          <xdr:col>8</xdr:col>
          <xdr:colOff>15240</xdr:colOff>
          <xdr:row>40</xdr:row>
          <xdr:rowOff>205740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Eigenes Allzweck KI-Modell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2202180</xdr:colOff>
          <xdr:row>40</xdr:row>
          <xdr:rowOff>198120</xdr:rowOff>
        </xdr:from>
        <xdr:to>
          <xdr:col>3</xdr:col>
          <xdr:colOff>716280</xdr:colOff>
          <xdr:row>42</xdr:row>
          <xdr:rowOff>15240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4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Anbieter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777240</xdr:colOff>
          <xdr:row>40</xdr:row>
          <xdr:rowOff>198120</xdr:rowOff>
        </xdr:from>
        <xdr:to>
          <xdr:col>3</xdr:col>
          <xdr:colOff>1516380</xdr:colOff>
          <xdr:row>42</xdr:row>
          <xdr:rowOff>15240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4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Betreiber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1623060</xdr:colOff>
          <xdr:row>40</xdr:row>
          <xdr:rowOff>182880</xdr:rowOff>
        </xdr:from>
        <xdr:to>
          <xdr:col>3</xdr:col>
          <xdr:colOff>2346960</xdr:colOff>
          <xdr:row>42</xdr:row>
          <xdr:rowOff>30480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4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Einführer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40</xdr:row>
          <xdr:rowOff>198120</xdr:rowOff>
        </xdr:from>
        <xdr:to>
          <xdr:col>4</xdr:col>
          <xdr:colOff>777240</xdr:colOff>
          <xdr:row>42</xdr:row>
          <xdr:rowOff>15240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4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Händler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39</xdr:row>
          <xdr:rowOff>175260</xdr:rowOff>
        </xdr:from>
        <xdr:to>
          <xdr:col>5</xdr:col>
          <xdr:colOff>1828800</xdr:colOff>
          <xdr:row>40</xdr:row>
          <xdr:rowOff>205740</xdr:rowOff>
        </xdr:to>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04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AI Act findet keine Anwendung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40</xdr:row>
          <xdr:rowOff>190500</xdr:rowOff>
        </xdr:from>
        <xdr:to>
          <xdr:col>5</xdr:col>
          <xdr:colOff>1341120</xdr:colOff>
          <xdr:row>42</xdr:row>
          <xdr:rowOff>30480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4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Produktehersteller</a:t>
              </a:r>
            </a:p>
          </xdr:txBody>
        </xdr:sp>
        <xdr:clientData/>
      </xdr:twoCellAnchor>
    </mc:Choice>
    <mc:Fallback/>
  </mc:AlternateContent>
  <xdr:twoCellAnchor>
    <xdr:from>
      <xdr:col>6</xdr:col>
      <xdr:colOff>293076</xdr:colOff>
      <xdr:row>1</xdr:row>
      <xdr:rowOff>152400</xdr:rowOff>
    </xdr:from>
    <xdr:to>
      <xdr:col>8</xdr:col>
      <xdr:colOff>164123</xdr:colOff>
      <xdr:row>3</xdr:row>
      <xdr:rowOff>187569</xdr:rowOff>
    </xdr:to>
    <xdr:sp macro="" textlink="">
      <xdr:nvSpPr>
        <xdr:cNvPr id="15" name="Textfeld 14">
          <a:extLst>
            <a:ext uri="{FF2B5EF4-FFF2-40B4-BE49-F238E27FC236}">
              <a16:creationId xmlns:a16="http://schemas.microsoft.com/office/drawing/2014/main" id="{00000000-0008-0000-0400-00000F000000}"/>
            </a:ext>
          </a:extLst>
        </xdr:cNvPr>
        <xdr:cNvSpPr txBox="1"/>
      </xdr:nvSpPr>
      <xdr:spPr>
        <a:xfrm rot="410487">
          <a:off x="9607061" y="451338"/>
          <a:ext cx="1195754" cy="39858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rgbClr val="FF0000"/>
              </a:solidFill>
            </a:rPr>
            <a:t>Musterinhalte siehe</a:t>
          </a:r>
          <a:r>
            <a:rPr lang="en-US" sz="900" baseline="0">
              <a:solidFill>
                <a:srgbClr val="FF0000"/>
              </a:solidFill>
            </a:rPr>
            <a:t> englische Fassung</a:t>
          </a:r>
          <a:endParaRPr lang="en-US" sz="900">
            <a:solidFill>
              <a:srgbClr val="FF0000"/>
            </a:solidFill>
          </a:endParaRPr>
        </a:p>
      </xdr:txBody>
    </xdr:sp>
    <xdr:clientData/>
  </xdr:twoCellAnchor>
  <xdr:twoCellAnchor editAs="oneCell">
    <xdr:from>
      <xdr:col>9</xdr:col>
      <xdr:colOff>293077</xdr:colOff>
      <xdr:row>13</xdr:row>
      <xdr:rowOff>11723</xdr:rowOff>
    </xdr:from>
    <xdr:to>
      <xdr:col>12</xdr:col>
      <xdr:colOff>526486</xdr:colOff>
      <xdr:row>22</xdr:row>
      <xdr:rowOff>832338</xdr:rowOff>
    </xdr:to>
    <xdr:pic>
      <xdr:nvPicPr>
        <xdr:cNvPr id="25637" name="Grafik 25636">
          <a:extLst>
            <a:ext uri="{FF2B5EF4-FFF2-40B4-BE49-F238E27FC236}">
              <a16:creationId xmlns:a16="http://schemas.microsoft.com/office/drawing/2014/main" id="{00000000-0008-0000-0400-000025640000}"/>
            </a:ext>
          </a:extLst>
        </xdr:cNvPr>
        <xdr:cNvPicPr>
          <a:picLocks noChangeAspect="1"/>
        </xdr:cNvPicPr>
      </xdr:nvPicPr>
      <xdr:blipFill>
        <a:blip xmlns:r="http://schemas.openxmlformats.org/officeDocument/2006/relationships" r:embed="rId4"/>
        <a:stretch>
          <a:fillRect/>
        </a:stretch>
      </xdr:blipFill>
      <xdr:spPr>
        <a:xfrm>
          <a:off x="11594123" y="3493477"/>
          <a:ext cx="2220471" cy="3130061"/>
        </a:xfrm>
        <a:prstGeom prst="rect">
          <a:avLst/>
        </a:prstGeom>
      </xdr:spPr>
    </xdr:pic>
    <xdr:clientData/>
  </xdr:twoCellAnchor>
  <xdr:twoCellAnchor editAs="oneCell">
    <xdr:from>
      <xdr:col>9</xdr:col>
      <xdr:colOff>152398</xdr:colOff>
      <xdr:row>2</xdr:row>
      <xdr:rowOff>146538</xdr:rowOff>
    </xdr:from>
    <xdr:to>
      <xdr:col>19</xdr:col>
      <xdr:colOff>11723</xdr:colOff>
      <xdr:row>9</xdr:row>
      <xdr:rowOff>13162</xdr:rowOff>
    </xdr:to>
    <xdr:pic>
      <xdr:nvPicPr>
        <xdr:cNvPr id="25639" name="Grafik 25638">
          <a:extLst>
            <a:ext uri="{FF2B5EF4-FFF2-40B4-BE49-F238E27FC236}">
              <a16:creationId xmlns:a16="http://schemas.microsoft.com/office/drawing/2014/main" id="{00000000-0008-0000-0400-000027640000}"/>
            </a:ext>
          </a:extLst>
        </xdr:cNvPr>
        <xdr:cNvPicPr>
          <a:picLocks noChangeAspect="1"/>
        </xdr:cNvPicPr>
      </xdr:nvPicPr>
      <xdr:blipFill>
        <a:blip xmlns:r="http://schemas.openxmlformats.org/officeDocument/2006/relationships" r:embed="rId5"/>
        <a:stretch>
          <a:fillRect/>
        </a:stretch>
      </xdr:blipFill>
      <xdr:spPr>
        <a:xfrm>
          <a:off x="11453444" y="627184"/>
          <a:ext cx="8909541" cy="20940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156007</xdr:colOff>
      <xdr:row>104</xdr:row>
      <xdr:rowOff>271424</xdr:rowOff>
    </xdr:from>
    <xdr:to>
      <xdr:col>8</xdr:col>
      <xdr:colOff>51256</xdr:colOff>
      <xdr:row>105</xdr:row>
      <xdr:rowOff>521790</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66198" y="15339146"/>
          <a:ext cx="1180710" cy="527005"/>
        </a:xfrm>
        <a:prstGeom prst="rect">
          <a:avLst/>
        </a:prstGeom>
      </xdr:spPr>
    </xdr:pic>
    <xdr:clientData/>
  </xdr:twoCellAnchor>
  <xdr:twoCellAnchor editAs="oneCell">
    <xdr:from>
      <xdr:col>9</xdr:col>
      <xdr:colOff>0</xdr:colOff>
      <xdr:row>105</xdr:row>
      <xdr:rowOff>0</xdr:rowOff>
    </xdr:from>
    <xdr:to>
      <xdr:col>9</xdr:col>
      <xdr:colOff>304800</xdr:colOff>
      <xdr:row>105</xdr:row>
      <xdr:rowOff>304800</xdr:rowOff>
    </xdr:to>
    <xdr:sp macro="" textlink="">
      <xdr:nvSpPr>
        <xdr:cNvPr id="3" name="AutoShape 5">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12115800" y="4956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279698</xdr:colOff>
      <xdr:row>105</xdr:row>
      <xdr:rowOff>405791</xdr:rowOff>
    </xdr:from>
    <xdr:to>
      <xdr:col>7</xdr:col>
      <xdr:colOff>1263936</xdr:colOff>
      <xdr:row>106</xdr:row>
      <xdr:rowOff>144403</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589889" y="15864452"/>
          <a:ext cx="984238" cy="341586"/>
        </a:xfrm>
        <a:prstGeom prst="rect">
          <a:avLst/>
        </a:prstGeom>
        <a:ln>
          <a:noFill/>
        </a:ln>
      </xdr:spPr>
    </xdr:pic>
    <xdr:clientData/>
  </xdr:twoCellAnchor>
  <xdr:oneCellAnchor>
    <xdr:from>
      <xdr:col>6</xdr:col>
      <xdr:colOff>146538</xdr:colOff>
      <xdr:row>11</xdr:row>
      <xdr:rowOff>70339</xdr:rowOff>
    </xdr:from>
    <xdr:ext cx="1412631" cy="640240"/>
    <xdr:sp macro="" textlink="">
      <xdr:nvSpPr>
        <xdr:cNvPr id="5" name="Textfeld 4">
          <a:extLst>
            <a:ext uri="{FF2B5EF4-FFF2-40B4-BE49-F238E27FC236}">
              <a16:creationId xmlns:a16="http://schemas.microsoft.com/office/drawing/2014/main" id="{00000000-0008-0000-0500-000005000000}"/>
            </a:ext>
          </a:extLst>
        </xdr:cNvPr>
        <xdr:cNvSpPr txBox="1"/>
      </xdr:nvSpPr>
      <xdr:spPr>
        <a:xfrm>
          <a:off x="9762978" y="2859259"/>
          <a:ext cx="1412631"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This is used to narrow down what you</a:t>
          </a:r>
          <a:r>
            <a:rPr lang="en-US" sz="700" baseline="0"/>
            <a:t> are looking at (e.g., you can "carve-out" the infrastructure, if you are just looking at the app running on top of it)</a:t>
          </a:r>
          <a:endParaRPr lang="en-US" sz="700"/>
        </a:p>
      </xdr:txBody>
    </xdr:sp>
    <xdr:clientData/>
  </xdr:oneCellAnchor>
  <xdr:twoCellAnchor>
    <xdr:from>
      <xdr:col>6</xdr:col>
      <xdr:colOff>123091</xdr:colOff>
      <xdr:row>11</xdr:row>
      <xdr:rowOff>164125</xdr:rowOff>
    </xdr:from>
    <xdr:to>
      <xdr:col>6</xdr:col>
      <xdr:colOff>181707</xdr:colOff>
      <xdr:row>14</xdr:row>
      <xdr:rowOff>35170</xdr:rowOff>
    </xdr:to>
    <xdr:sp macro="" textlink="">
      <xdr:nvSpPr>
        <xdr:cNvPr id="6" name="Geschweifte Klammer rechts 5">
          <a:extLst>
            <a:ext uri="{FF2B5EF4-FFF2-40B4-BE49-F238E27FC236}">
              <a16:creationId xmlns:a16="http://schemas.microsoft.com/office/drawing/2014/main" id="{00000000-0008-0000-0500-000006000000}"/>
            </a:ext>
          </a:extLst>
        </xdr:cNvPr>
        <xdr:cNvSpPr/>
      </xdr:nvSpPr>
      <xdr:spPr>
        <a:xfrm>
          <a:off x="9739531" y="2953045"/>
          <a:ext cx="58616" cy="450165"/>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6</xdr:col>
      <xdr:colOff>51579</xdr:colOff>
      <xdr:row>104</xdr:row>
      <xdr:rowOff>323250</xdr:rowOff>
    </xdr:from>
    <xdr:to>
      <xdr:col>7</xdr:col>
      <xdr:colOff>212035</xdr:colOff>
      <xdr:row>107</xdr:row>
      <xdr:rowOff>80776</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stretch>
          <a:fillRect/>
        </a:stretch>
      </xdr:blipFill>
      <xdr:spPr>
        <a:xfrm>
          <a:off x="9672657" y="15390972"/>
          <a:ext cx="849569" cy="868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156007</xdr:colOff>
      <xdr:row>104</xdr:row>
      <xdr:rowOff>271424</xdr:rowOff>
    </xdr:from>
    <xdr:to>
      <xdr:col>8</xdr:col>
      <xdr:colOff>51256</xdr:colOff>
      <xdr:row>105</xdr:row>
      <xdr:rowOff>521790</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58247" y="25371704"/>
          <a:ext cx="1183029" cy="524686"/>
        </a:xfrm>
        <a:prstGeom prst="rect">
          <a:avLst/>
        </a:prstGeom>
      </xdr:spPr>
    </xdr:pic>
    <xdr:clientData/>
  </xdr:twoCellAnchor>
  <xdr:twoCellAnchor editAs="oneCell">
    <xdr:from>
      <xdr:col>9</xdr:col>
      <xdr:colOff>0</xdr:colOff>
      <xdr:row>105</xdr:row>
      <xdr:rowOff>0</xdr:rowOff>
    </xdr:from>
    <xdr:to>
      <xdr:col>9</xdr:col>
      <xdr:colOff>304800</xdr:colOff>
      <xdr:row>105</xdr:row>
      <xdr:rowOff>304800</xdr:rowOff>
    </xdr:to>
    <xdr:sp macro="" textlink="">
      <xdr:nvSpPr>
        <xdr:cNvPr id="3" name="AutoShape 5">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1248918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279698</xdr:colOff>
      <xdr:row>105</xdr:row>
      <xdr:rowOff>405791</xdr:rowOff>
    </xdr:from>
    <xdr:to>
      <xdr:col>7</xdr:col>
      <xdr:colOff>1263936</xdr:colOff>
      <xdr:row>105</xdr:row>
      <xdr:rowOff>746383</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581938" y="25780391"/>
          <a:ext cx="984238" cy="340592"/>
        </a:xfrm>
        <a:prstGeom prst="rect">
          <a:avLst/>
        </a:prstGeom>
        <a:ln>
          <a:noFill/>
        </a:ln>
      </xdr:spPr>
    </xdr:pic>
    <xdr:clientData/>
  </xdr:twoCellAnchor>
  <xdr:oneCellAnchor>
    <xdr:from>
      <xdr:col>6</xdr:col>
      <xdr:colOff>146538</xdr:colOff>
      <xdr:row>11</xdr:row>
      <xdr:rowOff>70339</xdr:rowOff>
    </xdr:from>
    <xdr:ext cx="1412631" cy="640240"/>
    <xdr:sp macro="" textlink="">
      <xdr:nvSpPr>
        <xdr:cNvPr id="5" name="Textfeld 4">
          <a:extLst>
            <a:ext uri="{FF2B5EF4-FFF2-40B4-BE49-F238E27FC236}">
              <a16:creationId xmlns:a16="http://schemas.microsoft.com/office/drawing/2014/main" id="{00000000-0008-0000-0600-000005000000}"/>
            </a:ext>
          </a:extLst>
        </xdr:cNvPr>
        <xdr:cNvSpPr txBox="1"/>
      </xdr:nvSpPr>
      <xdr:spPr>
        <a:xfrm>
          <a:off x="9762978" y="2600179"/>
          <a:ext cx="1412631"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Dies dient dazu, die Betrachtung einzugrenzen (z.B. können Sie die Infrastruktur ausklammern wenn Sie nur die darauf laufende Anwendung betrachten wollen)</a:t>
          </a:r>
        </a:p>
      </xdr:txBody>
    </xdr:sp>
    <xdr:clientData/>
  </xdr:oneCellAnchor>
  <xdr:twoCellAnchor>
    <xdr:from>
      <xdr:col>6</xdr:col>
      <xdr:colOff>123091</xdr:colOff>
      <xdr:row>11</xdr:row>
      <xdr:rowOff>164125</xdr:rowOff>
    </xdr:from>
    <xdr:to>
      <xdr:col>6</xdr:col>
      <xdr:colOff>181707</xdr:colOff>
      <xdr:row>14</xdr:row>
      <xdr:rowOff>35170</xdr:rowOff>
    </xdr:to>
    <xdr:sp macro="" textlink="">
      <xdr:nvSpPr>
        <xdr:cNvPr id="6" name="Geschweifte Klammer rechts 5">
          <a:extLst>
            <a:ext uri="{FF2B5EF4-FFF2-40B4-BE49-F238E27FC236}">
              <a16:creationId xmlns:a16="http://schemas.microsoft.com/office/drawing/2014/main" id="{00000000-0008-0000-0600-000006000000}"/>
            </a:ext>
          </a:extLst>
        </xdr:cNvPr>
        <xdr:cNvSpPr/>
      </xdr:nvSpPr>
      <xdr:spPr>
        <a:xfrm>
          <a:off x="9739531" y="2693965"/>
          <a:ext cx="58616" cy="450165"/>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6</xdr:col>
      <xdr:colOff>51579</xdr:colOff>
      <xdr:row>104</xdr:row>
      <xdr:rowOff>323250</xdr:rowOff>
    </xdr:from>
    <xdr:to>
      <xdr:col>7</xdr:col>
      <xdr:colOff>212035</xdr:colOff>
      <xdr:row>106</xdr:row>
      <xdr:rowOff>50296</xdr:rowOff>
    </xdr:to>
    <xdr:pic>
      <xdr:nvPicPr>
        <xdr:cNvPr id="7" name="Grafik 6">
          <a:hlinkClick xmlns:r="http://schemas.openxmlformats.org/officeDocument/2006/relationships" r:id="rId3"/>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668019" y="25377810"/>
          <a:ext cx="846256" cy="8624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281269</xdr:colOff>
      <xdr:row>115</xdr:row>
      <xdr:rowOff>105034</xdr:rowOff>
    </xdr:from>
    <xdr:to>
      <xdr:col>8</xdr:col>
      <xdr:colOff>122160</xdr:colOff>
      <xdr:row>117</xdr:row>
      <xdr:rowOff>84223</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73223" y="35262542"/>
          <a:ext cx="1177322" cy="512588"/>
        </a:xfrm>
        <a:prstGeom prst="rect">
          <a:avLst/>
        </a:prstGeom>
      </xdr:spPr>
    </xdr:pic>
    <xdr:clientData/>
  </xdr:twoCellAnchor>
  <xdr:twoCellAnchor>
    <xdr:from>
      <xdr:col>6</xdr:col>
      <xdr:colOff>324678</xdr:colOff>
      <xdr:row>61</xdr:row>
      <xdr:rowOff>106017</xdr:rowOff>
    </xdr:from>
    <xdr:to>
      <xdr:col>7</xdr:col>
      <xdr:colOff>311426</xdr:colOff>
      <xdr:row>69</xdr:row>
      <xdr:rowOff>159025</xdr:rowOff>
    </xdr:to>
    <xdr:cxnSp macro="">
      <xdr:nvCxnSpPr>
        <xdr:cNvPr id="8" name="Verbinder: gewinkelt 7">
          <a:extLst>
            <a:ext uri="{FF2B5EF4-FFF2-40B4-BE49-F238E27FC236}">
              <a16:creationId xmlns:a16="http://schemas.microsoft.com/office/drawing/2014/main" id="{00000000-0008-0000-0700-000008000000}"/>
            </a:ext>
          </a:extLst>
        </xdr:cNvPr>
        <xdr:cNvCxnSpPr/>
      </xdr:nvCxnSpPr>
      <xdr:spPr>
        <a:xfrm rot="16200000" flipH="1">
          <a:off x="8961783" y="24075886"/>
          <a:ext cx="1179443" cy="655983"/>
        </a:xfrm>
        <a:prstGeom prst="bentConnector3">
          <a:avLst/>
        </a:prstGeom>
        <a:ln>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974559</xdr:colOff>
      <xdr:row>67</xdr:row>
      <xdr:rowOff>25313</xdr:rowOff>
    </xdr:from>
    <xdr:ext cx="1419028" cy="342786"/>
    <xdr:sp macro="" textlink="">
      <xdr:nvSpPr>
        <xdr:cNvPr id="9" name="Textfeld 8">
          <a:extLst>
            <a:ext uri="{FF2B5EF4-FFF2-40B4-BE49-F238E27FC236}">
              <a16:creationId xmlns:a16="http://schemas.microsoft.com/office/drawing/2014/main" id="{00000000-0008-0000-0700-000009000000}"/>
            </a:ext>
          </a:extLst>
        </xdr:cNvPr>
        <xdr:cNvSpPr txBox="1"/>
      </xdr:nvSpPr>
      <xdr:spPr>
        <a:xfrm>
          <a:off x="7740317" y="19937576"/>
          <a:ext cx="1419028" cy="342786"/>
        </a:xfrm>
        <a:prstGeom prst="rect">
          <a:avLst/>
        </a:prstGeom>
        <a:no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800">
              <a:solidFill>
                <a:schemeClr val="bg1">
                  <a:lumMod val="85000"/>
                </a:schemeClr>
              </a:solidFill>
            </a:rPr>
            <a:t>Use the filter function to hide unlikely relevant lines</a:t>
          </a:r>
        </a:p>
      </xdr:txBody>
    </xdr:sp>
    <xdr:clientData/>
  </xdr:oneCellAnchor>
  <xdr:twoCellAnchor>
    <xdr:from>
      <xdr:col>6</xdr:col>
      <xdr:colOff>268008</xdr:colOff>
      <xdr:row>68</xdr:row>
      <xdr:rowOff>12222</xdr:rowOff>
    </xdr:from>
    <xdr:to>
      <xdr:col>6</xdr:col>
      <xdr:colOff>561474</xdr:colOff>
      <xdr:row>69</xdr:row>
      <xdr:rowOff>152400</xdr:rowOff>
    </xdr:to>
    <xdr:cxnSp macro="">
      <xdr:nvCxnSpPr>
        <xdr:cNvPr id="11" name="Gerade Verbindung mit Pfeil 10">
          <a:extLst>
            <a:ext uri="{FF2B5EF4-FFF2-40B4-BE49-F238E27FC236}">
              <a16:creationId xmlns:a16="http://schemas.microsoft.com/office/drawing/2014/main" id="{00000000-0008-0000-0700-00000B000000}"/>
            </a:ext>
          </a:extLst>
        </xdr:cNvPr>
        <xdr:cNvCxnSpPr>
          <a:stCxn id="9" idx="3"/>
        </xdr:cNvCxnSpPr>
      </xdr:nvCxnSpPr>
      <xdr:spPr>
        <a:xfrm>
          <a:off x="9159345" y="20108969"/>
          <a:ext cx="293466" cy="324663"/>
        </a:xfrm>
        <a:prstGeom prst="straightConnector1">
          <a:avLst/>
        </a:prstGeom>
        <a:ln>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345830</xdr:colOff>
      <xdr:row>117</xdr:row>
      <xdr:rowOff>140677</xdr:rowOff>
    </xdr:from>
    <xdr:to>
      <xdr:col>7</xdr:col>
      <xdr:colOff>645963</xdr:colOff>
      <xdr:row>117</xdr:row>
      <xdr:rowOff>482263</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9237784" y="35831585"/>
          <a:ext cx="987398" cy="341586"/>
        </a:xfrm>
        <a:prstGeom prst="rect">
          <a:avLst/>
        </a:prstGeom>
        <a:ln>
          <a:noFill/>
        </a:ln>
      </xdr:spPr>
    </xdr:pic>
    <xdr:clientData/>
  </xdr:twoCellAnchor>
  <xdr:oneCellAnchor>
    <xdr:from>
      <xdr:col>6</xdr:col>
      <xdr:colOff>434340</xdr:colOff>
      <xdr:row>2</xdr:row>
      <xdr:rowOff>114300</xdr:rowOff>
    </xdr:from>
    <xdr:ext cx="1120140" cy="468013"/>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9326880" y="594360"/>
          <a:ext cx="112014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solidFill>
                <a:schemeClr val="bg2">
                  <a:lumMod val="50000"/>
                </a:schemeClr>
              </a:solidFill>
            </a:rPr>
            <a:t>Note: All values are taken from the main GAIRA worksheet.</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14</xdr:col>
      <xdr:colOff>166771</xdr:colOff>
      <xdr:row>25</xdr:row>
      <xdr:rowOff>35169</xdr:rowOff>
    </xdr:from>
    <xdr:to>
      <xdr:col>15</xdr:col>
      <xdr:colOff>122245</xdr:colOff>
      <xdr:row>26</xdr:row>
      <xdr:rowOff>137450</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1356" y="3423138"/>
          <a:ext cx="975381" cy="424666"/>
        </a:xfrm>
        <a:prstGeom prst="rect">
          <a:avLst/>
        </a:prstGeom>
      </xdr:spPr>
    </xdr:pic>
    <xdr:clientData/>
  </xdr:twoCellAnchor>
  <xdr:twoCellAnchor editAs="oneCell">
    <xdr:from>
      <xdr:col>14</xdr:col>
      <xdr:colOff>489951</xdr:colOff>
      <xdr:row>27</xdr:row>
      <xdr:rowOff>25100</xdr:rowOff>
    </xdr:from>
    <xdr:to>
      <xdr:col>15</xdr:col>
      <xdr:colOff>13569</xdr:colOff>
      <xdr:row>27</xdr:row>
      <xdr:rowOff>298937</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4604536" y="3823377"/>
          <a:ext cx="543525" cy="273837"/>
        </a:xfrm>
        <a:prstGeom prst="rect">
          <a:avLst/>
        </a:prstGeom>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vischerlnk.com/gaira" TargetMode="External"/><Relationship Id="rId2" Type="http://schemas.openxmlformats.org/officeDocument/2006/relationships/hyperlink" Target="https:/www.rosenthal.ch/downloads/VISCHER_KI-Risiko-Check.pdf" TargetMode="External"/><Relationship Id="rId1" Type="http://schemas.openxmlformats.org/officeDocument/2006/relationships/hyperlink" Target="https:/www.rosenthal.ch/downloads/VISCHER_AI-Risk-Check.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www.europarl.europa.eu/doceo/document/TA-9-2024-0138_EN.htm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www.europarl.europa.eu/doceo/document/TA-9-2024-0138_DE.html"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vud.ch/dsf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I2:L38"/>
  <sheetViews>
    <sheetView showGridLines="0" tabSelected="1" workbookViewId="0">
      <selection activeCell="I7" sqref="I7"/>
    </sheetView>
  </sheetViews>
  <sheetFormatPr baseColWidth="10" defaultRowHeight="14.4" x14ac:dyDescent="0.3"/>
  <cols>
    <col min="8" max="8" width="14.21875" customWidth="1"/>
    <col min="9" max="9" width="25.5546875" customWidth="1"/>
    <col min="10" max="10" width="33.77734375" customWidth="1"/>
    <col min="11" max="11" width="37.21875" customWidth="1"/>
    <col min="12" max="12" width="3.21875" customWidth="1"/>
  </cols>
  <sheetData>
    <row r="2" spans="9:12" x14ac:dyDescent="0.3">
      <c r="I2" s="96" t="s">
        <v>742</v>
      </c>
    </row>
    <row r="3" spans="9:12" x14ac:dyDescent="0.3">
      <c r="I3" s="96" t="s">
        <v>1240</v>
      </c>
    </row>
    <row r="6" spans="9:12" x14ac:dyDescent="0.3">
      <c r="I6" s="172" t="s">
        <v>956</v>
      </c>
      <c r="J6" s="173" t="s">
        <v>957</v>
      </c>
      <c r="K6" s="175" t="s">
        <v>964</v>
      </c>
      <c r="L6" s="174"/>
    </row>
    <row r="7" spans="9:12" ht="57.6" x14ac:dyDescent="0.3">
      <c r="I7" s="163" t="s">
        <v>950</v>
      </c>
      <c r="J7" s="165" t="s">
        <v>958</v>
      </c>
      <c r="K7" s="165" t="s">
        <v>1242</v>
      </c>
      <c r="L7" s="167"/>
    </row>
    <row r="8" spans="9:12" ht="28.8" x14ac:dyDescent="0.3">
      <c r="I8" s="163" t="s">
        <v>951</v>
      </c>
      <c r="J8" s="165" t="s">
        <v>959</v>
      </c>
      <c r="K8" s="165" t="s">
        <v>1241</v>
      </c>
      <c r="L8" s="167"/>
    </row>
    <row r="9" spans="9:12" ht="28.8" x14ac:dyDescent="0.3">
      <c r="I9" s="163" t="s">
        <v>952</v>
      </c>
      <c r="J9" s="165" t="s">
        <v>960</v>
      </c>
      <c r="K9" s="165" t="s">
        <v>1379</v>
      </c>
      <c r="L9" s="168"/>
    </row>
    <row r="10" spans="9:12" x14ac:dyDescent="0.3">
      <c r="I10" s="163" t="s">
        <v>953</v>
      </c>
      <c r="J10" s="165" t="s">
        <v>961</v>
      </c>
      <c r="K10" s="182" t="s">
        <v>1380</v>
      </c>
      <c r="L10" s="169"/>
    </row>
    <row r="11" spans="9:12" ht="28.8" x14ac:dyDescent="0.3">
      <c r="I11" s="163" t="s">
        <v>954</v>
      </c>
      <c r="J11" s="165" t="s">
        <v>962</v>
      </c>
      <c r="K11" s="165" t="s">
        <v>1245</v>
      </c>
      <c r="L11" s="170"/>
    </row>
    <row r="12" spans="9:12" ht="43.2" x14ac:dyDescent="0.3">
      <c r="I12" s="164" t="s">
        <v>955</v>
      </c>
      <c r="J12" s="166" t="s">
        <v>1244</v>
      </c>
      <c r="K12" s="166" t="s">
        <v>1243</v>
      </c>
      <c r="L12" s="168"/>
    </row>
    <row r="13" spans="9:12" ht="28.8" x14ac:dyDescent="0.3">
      <c r="I13" s="164" t="s">
        <v>662</v>
      </c>
      <c r="J13" s="166" t="s">
        <v>963</v>
      </c>
      <c r="K13" s="182" t="s">
        <v>1380</v>
      </c>
      <c r="L13" s="171"/>
    </row>
    <row r="16" spans="9:12" x14ac:dyDescent="0.3">
      <c r="I16" s="188">
        <v>45385</v>
      </c>
    </row>
    <row r="18" spans="9:9" x14ac:dyDescent="0.3">
      <c r="I18" s="96" t="s">
        <v>1583</v>
      </c>
    </row>
    <row r="38" spans="9:9" x14ac:dyDescent="0.3">
      <c r="I38" t="s">
        <v>1584</v>
      </c>
    </row>
  </sheetData>
  <sheetProtection sheet="1" objects="1" scenarios="1"/>
  <hyperlinks>
    <hyperlink ref="I2" r:id="rId1" xr:uid="{00000000-0004-0000-0000-000000000000}"/>
    <hyperlink ref="I3" r:id="rId2" display="In German you can download it here." xr:uid="{08B446ED-C711-4C69-BCD3-0C975BCB495A}"/>
    <hyperlink ref="J7" location="'GAIRA Light E'!A1" display="The simplified risk assessment form for the business to complete to a large part on its own" xr:uid="{3C27061D-063B-43D5-9A1F-D80B7961925F}"/>
    <hyperlink ref="J8" location="'GAIRA Comprehensive E'!A1" display="The form to do a comprehensive risk assessment for high-risk projects" xr:uid="{F8CCCF86-84DC-46FC-8443-621AA7AD2343}"/>
    <hyperlink ref="J9" location="'AI Act Check (Optional) E'!A1" display="A tool to assess whether the EU AI Act and which roles apply" xr:uid="{D36ABB6F-97E9-4435-987C-89919BE576AD}"/>
    <hyperlink ref="J10" location="'Compliance Check (Optional) E'!A1" display="A tool to do a basic compliance check" xr:uid="{790F270C-2222-4FA6-9A3A-D5E63B1F5CB4}"/>
    <hyperlink ref="J11" location="'ROAIA E'!A1" display="A template for a &quot;Records of AI applications&quot;" xr:uid="{5519B4ED-AC6D-4BD9-90F5-64BE98AA7D9C}"/>
    <hyperlink ref="J12" location="'AI Act E'!A1" display="An overview of the use cases of the AI Act an a summary of the obligations" xr:uid="{4C37BBE3-7213-4EB1-AB57-B30DDDD881B0}"/>
    <hyperlink ref="J13" location="Changelog!A1" display="What has been changed or added to this Excel over time" xr:uid="{1BF31D6B-5447-4676-9991-1B3F10990CBF}"/>
    <hyperlink ref="K7" location="'GAIRA Light D'!A1" display="The simplified risk assessment form for the business to complete to a large part on its own" xr:uid="{F2E67F0A-3072-40E5-8AED-63DB756F1915}"/>
    <hyperlink ref="K12" location="'AI Act D'!A1" display="An overview of the use cases of the AI Act an a summary of the obligations" xr:uid="{A6C394AB-4AAD-48CD-945E-65F44D1CF7FD}"/>
    <hyperlink ref="K9" location="'AI Act Check D'!A1" display="Ein Werkzeug zur Bewertung, ob der EU AI Act und welche Rollen gelten" xr:uid="{C412313E-6C65-4035-B9CD-C858C679EA93}"/>
    <hyperlink ref="K11" location="'ROAIA D'!A1" display="Eine Vorlage für &quot;Verzeichnis von KI-Anwendungen&quot;" xr:uid="{2FAE325F-9CB9-40CB-8A2A-CBBE3922CB28}"/>
    <hyperlink ref="K8" location="'GAIRA Comprehensive D'!A1" display="Das Formular für eine umfassende Risikobewertung bei Hochrisikoprojekten" xr:uid="{B86D1984-5ED8-49A4-B214-97F070D8EC36}"/>
    <hyperlink ref="I18" r:id="rId3" xr:uid="{75BF2CE6-3F06-4691-8D5D-E9B1D37E3DE3}"/>
  </hyperlinks>
  <pageMargins left="0.7" right="0.7" top="0.78740157499999996" bottom="0.78740157499999996"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FB7AB-3BFE-4C0D-927F-5F7FABA88EF5}">
  <sheetPr codeName="Tabelle12">
    <tabColor rgb="FFDF671A"/>
    <pageSetUpPr fitToPage="1"/>
  </sheetPr>
  <dimension ref="A1:R28"/>
  <sheetViews>
    <sheetView showGridLines="0" workbookViewId="0">
      <selection sqref="A1:E1"/>
    </sheetView>
  </sheetViews>
  <sheetFormatPr baseColWidth="10" defaultColWidth="11.44140625" defaultRowHeight="14.4" x14ac:dyDescent="0.3"/>
  <cols>
    <col min="1" max="1" width="4.6640625" customWidth="1"/>
    <col min="2" max="2" width="15.5546875" customWidth="1"/>
    <col min="3" max="3" width="20.33203125" customWidth="1"/>
    <col min="4" max="4" width="32.33203125" customWidth="1"/>
    <col min="5" max="5" width="13" customWidth="1"/>
    <col min="6" max="6" width="16.33203125" customWidth="1"/>
    <col min="7" max="7" width="19.33203125" customWidth="1"/>
    <col min="8" max="8" width="29.33203125" customWidth="1"/>
    <col min="9" max="9" width="11.109375" customWidth="1"/>
    <col min="10" max="10" width="10.5546875" customWidth="1"/>
    <col min="11" max="11" width="11.44140625" customWidth="1"/>
    <col min="12" max="12" width="9.88671875" customWidth="1"/>
    <col min="13" max="13" width="10.88671875" customWidth="1"/>
    <col min="14" max="14" width="12.33203125" customWidth="1"/>
    <col min="15" max="15" width="14.88671875" customWidth="1"/>
  </cols>
  <sheetData>
    <row r="1" spans="1:18" ht="23.4" x14ac:dyDescent="0.45">
      <c r="A1" s="194" t="s">
        <v>1329</v>
      </c>
      <c r="B1" s="194"/>
      <c r="C1" s="194"/>
      <c r="D1" s="194"/>
      <c r="E1" s="194"/>
    </row>
    <row r="3" spans="1:18" x14ac:dyDescent="0.3">
      <c r="A3" s="1" t="s">
        <v>965</v>
      </c>
      <c r="B3" s="2"/>
      <c r="C3" s="200" t="s">
        <v>77</v>
      </c>
      <c r="D3" s="200"/>
      <c r="F3" s="20" t="s">
        <v>1311</v>
      </c>
      <c r="G3" s="115" t="s">
        <v>1312</v>
      </c>
      <c r="J3" t="s">
        <v>1313</v>
      </c>
      <c r="L3" s="199" t="s">
        <v>638</v>
      </c>
      <c r="M3" s="200"/>
      <c r="N3" s="200"/>
      <c r="O3" s="200"/>
    </row>
    <row r="5" spans="1:18" x14ac:dyDescent="0.3">
      <c r="A5" s="61" t="s">
        <v>336</v>
      </c>
      <c r="B5" s="10" t="s">
        <v>1314</v>
      </c>
      <c r="C5" s="10" t="s">
        <v>1330</v>
      </c>
      <c r="D5" s="10" t="s">
        <v>1315</v>
      </c>
      <c r="E5" s="10" t="s">
        <v>1349</v>
      </c>
      <c r="F5" s="10" t="s">
        <v>1316</v>
      </c>
      <c r="G5" s="10" t="s">
        <v>1317</v>
      </c>
      <c r="H5" s="10" t="s">
        <v>1333</v>
      </c>
      <c r="I5" s="10" t="s">
        <v>943</v>
      </c>
      <c r="J5" s="10" t="s">
        <v>1334</v>
      </c>
      <c r="K5" s="10" t="s">
        <v>1335</v>
      </c>
      <c r="L5" s="10" t="s">
        <v>338</v>
      </c>
      <c r="M5" s="10" t="s">
        <v>1336</v>
      </c>
      <c r="N5" s="10" t="s">
        <v>1337</v>
      </c>
      <c r="O5" s="10" t="s">
        <v>1338</v>
      </c>
      <c r="Q5" s="162" t="s">
        <v>1339</v>
      </c>
      <c r="R5" s="20"/>
    </row>
    <row r="6" spans="1:18" ht="27.6" x14ac:dyDescent="0.3">
      <c r="A6" s="88">
        <v>1</v>
      </c>
      <c r="B6" s="8" t="s">
        <v>348</v>
      </c>
      <c r="C6" s="8" t="s">
        <v>251</v>
      </c>
      <c r="D6" s="9" t="s">
        <v>1318</v>
      </c>
      <c r="E6" s="9" t="s">
        <v>350</v>
      </c>
      <c r="F6" s="9" t="s">
        <v>1319</v>
      </c>
      <c r="G6" s="9" t="s">
        <v>697</v>
      </c>
      <c r="H6" s="9" t="s">
        <v>695</v>
      </c>
      <c r="I6" s="9" t="s">
        <v>1344</v>
      </c>
      <c r="J6" s="9" t="s">
        <v>1321</v>
      </c>
      <c r="K6" s="9" t="s">
        <v>91</v>
      </c>
      <c r="L6" s="9" t="s">
        <v>91</v>
      </c>
      <c r="M6" s="9" t="s">
        <v>1346</v>
      </c>
      <c r="N6" s="89" t="s">
        <v>1322</v>
      </c>
      <c r="O6" s="115" t="s">
        <v>1323</v>
      </c>
      <c r="Q6" s="161" t="s">
        <v>1050</v>
      </c>
    </row>
    <row r="7" spans="1:18" ht="41.4" x14ac:dyDescent="0.3">
      <c r="A7" s="88">
        <v>2</v>
      </c>
      <c r="B7" s="8" t="s">
        <v>934</v>
      </c>
      <c r="C7" s="8" t="s">
        <v>971</v>
      </c>
      <c r="D7" s="9" t="s">
        <v>1324</v>
      </c>
      <c r="E7" s="9" t="s">
        <v>78</v>
      </c>
      <c r="F7" s="9" t="s">
        <v>1331</v>
      </c>
      <c r="G7" s="9" t="s">
        <v>697</v>
      </c>
      <c r="H7" s="9" t="s">
        <v>1332</v>
      </c>
      <c r="I7" s="9" t="s">
        <v>1340</v>
      </c>
      <c r="J7" s="9" t="s">
        <v>1321</v>
      </c>
      <c r="K7" s="9" t="s">
        <v>1321</v>
      </c>
      <c r="L7" s="9" t="s">
        <v>1321</v>
      </c>
      <c r="M7" s="9" t="s">
        <v>1347</v>
      </c>
      <c r="N7" s="89" t="s">
        <v>637</v>
      </c>
      <c r="O7" s="115" t="s">
        <v>1325</v>
      </c>
      <c r="Q7" s="161" t="s">
        <v>91</v>
      </c>
    </row>
    <row r="8" spans="1:18" x14ac:dyDescent="0.3">
      <c r="A8" s="88"/>
      <c r="B8" s="8"/>
      <c r="C8" s="8"/>
      <c r="D8" s="9"/>
      <c r="E8" s="9"/>
      <c r="F8" s="9"/>
      <c r="G8" s="9"/>
      <c r="H8" s="9"/>
      <c r="I8" s="9" t="s">
        <v>1050</v>
      </c>
      <c r="J8" s="9" t="s">
        <v>1050</v>
      </c>
      <c r="K8" s="9" t="s">
        <v>1050</v>
      </c>
      <c r="L8" s="9" t="s">
        <v>1050</v>
      </c>
      <c r="M8" s="9" t="s">
        <v>1050</v>
      </c>
      <c r="N8" s="89"/>
      <c r="O8" s="115"/>
      <c r="Q8" s="161" t="s">
        <v>1326</v>
      </c>
    </row>
    <row r="9" spans="1:18" x14ac:dyDescent="0.3">
      <c r="A9" s="88"/>
      <c r="B9" s="8"/>
      <c r="C9" s="8"/>
      <c r="D9" s="9"/>
      <c r="E9" s="9"/>
      <c r="F9" s="9"/>
      <c r="G9" s="9"/>
      <c r="H9" s="9"/>
      <c r="I9" s="9" t="s">
        <v>1050</v>
      </c>
      <c r="J9" s="9" t="s">
        <v>1050</v>
      </c>
      <c r="K9" s="9" t="s">
        <v>1050</v>
      </c>
      <c r="L9" s="9" t="s">
        <v>1050</v>
      </c>
      <c r="M9" s="9" t="s">
        <v>1050</v>
      </c>
      <c r="N9" s="89"/>
      <c r="O9" s="115"/>
      <c r="Q9" s="161" t="s">
        <v>1340</v>
      </c>
    </row>
    <row r="10" spans="1:18" x14ac:dyDescent="0.3">
      <c r="A10" s="88"/>
      <c r="B10" s="8"/>
      <c r="C10" s="8"/>
      <c r="D10" s="9"/>
      <c r="E10" s="9"/>
      <c r="F10" s="9"/>
      <c r="G10" s="9"/>
      <c r="H10" s="9"/>
      <c r="I10" s="9" t="s">
        <v>1050</v>
      </c>
      <c r="J10" s="9" t="s">
        <v>1050</v>
      </c>
      <c r="K10" s="9" t="s">
        <v>1050</v>
      </c>
      <c r="L10" s="9" t="s">
        <v>1050</v>
      </c>
      <c r="M10" s="9" t="s">
        <v>1050</v>
      </c>
      <c r="N10" s="89"/>
      <c r="O10" s="115"/>
      <c r="Q10" s="161" t="s">
        <v>1348</v>
      </c>
    </row>
    <row r="11" spans="1:18" x14ac:dyDescent="0.3">
      <c r="A11" s="88"/>
      <c r="B11" s="8"/>
      <c r="C11" s="8"/>
      <c r="D11" s="9"/>
      <c r="E11" s="9"/>
      <c r="F11" s="9"/>
      <c r="G11" s="9"/>
      <c r="H11" s="9"/>
      <c r="I11" s="9" t="s">
        <v>1050</v>
      </c>
      <c r="J11" s="9" t="s">
        <v>1050</v>
      </c>
      <c r="K11" s="9" t="s">
        <v>1050</v>
      </c>
      <c r="L11" s="9" t="s">
        <v>1050</v>
      </c>
      <c r="M11" s="9" t="s">
        <v>1050</v>
      </c>
      <c r="N11" s="89"/>
      <c r="O11" s="115"/>
      <c r="Q11" s="161" t="s">
        <v>1342</v>
      </c>
    </row>
    <row r="12" spans="1:18" x14ac:dyDescent="0.3">
      <c r="A12" s="88"/>
      <c r="B12" s="8"/>
      <c r="C12" s="8"/>
      <c r="D12" s="9"/>
      <c r="E12" s="9"/>
      <c r="F12" s="9"/>
      <c r="G12" s="9"/>
      <c r="H12" s="9"/>
      <c r="I12" s="9" t="s">
        <v>1050</v>
      </c>
      <c r="J12" s="9" t="s">
        <v>1050</v>
      </c>
      <c r="K12" s="9" t="s">
        <v>1050</v>
      </c>
      <c r="L12" s="9" t="s">
        <v>1050</v>
      </c>
      <c r="M12" s="9" t="s">
        <v>1050</v>
      </c>
      <c r="N12" s="89"/>
      <c r="O12" s="115"/>
      <c r="Q12" s="161" t="s">
        <v>1341</v>
      </c>
    </row>
    <row r="13" spans="1:18" x14ac:dyDescent="0.3">
      <c r="A13" s="88"/>
      <c r="B13" s="8"/>
      <c r="C13" s="8"/>
      <c r="D13" s="9"/>
      <c r="E13" s="9"/>
      <c r="F13" s="9"/>
      <c r="G13" s="9"/>
      <c r="H13" s="9"/>
      <c r="I13" s="9" t="s">
        <v>1050</v>
      </c>
      <c r="J13" s="9" t="s">
        <v>1050</v>
      </c>
      <c r="K13" s="9" t="s">
        <v>1050</v>
      </c>
      <c r="L13" s="9" t="s">
        <v>1050</v>
      </c>
      <c r="M13" s="9" t="s">
        <v>1050</v>
      </c>
      <c r="N13" s="89"/>
      <c r="O13" s="115"/>
      <c r="Q13" s="161" t="s">
        <v>1320</v>
      </c>
    </row>
    <row r="14" spans="1:18" x14ac:dyDescent="0.3">
      <c r="A14" s="88"/>
      <c r="B14" s="8"/>
      <c r="C14" s="8"/>
      <c r="D14" s="9"/>
      <c r="E14" s="9"/>
      <c r="F14" s="9"/>
      <c r="G14" s="9"/>
      <c r="H14" s="9"/>
      <c r="I14" s="9" t="s">
        <v>1050</v>
      </c>
      <c r="J14" s="9" t="s">
        <v>1050</v>
      </c>
      <c r="K14" s="9" t="s">
        <v>1050</v>
      </c>
      <c r="L14" s="9" t="s">
        <v>1050</v>
      </c>
      <c r="M14" s="9" t="s">
        <v>1050</v>
      </c>
      <c r="N14" s="89"/>
      <c r="O14" s="115"/>
      <c r="Q14" s="161" t="s">
        <v>1344</v>
      </c>
    </row>
    <row r="15" spans="1:18" x14ac:dyDescent="0.3">
      <c r="A15" s="88"/>
      <c r="B15" s="8"/>
      <c r="C15" s="8"/>
      <c r="D15" s="9"/>
      <c r="E15" s="9"/>
      <c r="F15" s="9"/>
      <c r="G15" s="9"/>
      <c r="H15" s="9"/>
      <c r="I15" s="9" t="s">
        <v>1050</v>
      </c>
      <c r="J15" s="9" t="s">
        <v>1050</v>
      </c>
      <c r="K15" s="9" t="s">
        <v>1050</v>
      </c>
      <c r="L15" s="9" t="s">
        <v>1050</v>
      </c>
      <c r="M15" s="9" t="s">
        <v>1050</v>
      </c>
      <c r="N15" s="89"/>
      <c r="O15" s="115"/>
      <c r="Q15" s="161" t="s">
        <v>1343</v>
      </c>
    </row>
    <row r="16" spans="1:18" x14ac:dyDescent="0.3">
      <c r="A16" s="88"/>
      <c r="B16" s="8"/>
      <c r="C16" s="8"/>
      <c r="D16" s="9"/>
      <c r="E16" s="9"/>
      <c r="F16" s="9"/>
      <c r="G16" s="9"/>
      <c r="H16" s="9"/>
      <c r="I16" s="9" t="s">
        <v>1050</v>
      </c>
      <c r="J16" s="9" t="s">
        <v>1050</v>
      </c>
      <c r="K16" s="9" t="s">
        <v>1050</v>
      </c>
      <c r="L16" s="9" t="s">
        <v>1050</v>
      </c>
      <c r="M16" s="9" t="s">
        <v>1050</v>
      </c>
      <c r="N16" s="89"/>
      <c r="O16" s="115"/>
      <c r="Q16" s="161" t="s">
        <v>1327</v>
      </c>
    </row>
    <row r="17" spans="1:17" x14ac:dyDescent="0.3">
      <c r="A17" s="88"/>
      <c r="B17" s="8"/>
      <c r="C17" s="8"/>
      <c r="D17" s="9"/>
      <c r="E17" s="9"/>
      <c r="F17" s="9"/>
      <c r="G17" s="9"/>
      <c r="H17" s="9"/>
      <c r="I17" s="9" t="s">
        <v>1050</v>
      </c>
      <c r="J17" s="9" t="s">
        <v>1050</v>
      </c>
      <c r="K17" s="9" t="s">
        <v>1050</v>
      </c>
      <c r="L17" s="9" t="s">
        <v>1050</v>
      </c>
      <c r="M17" s="9" t="s">
        <v>1050</v>
      </c>
      <c r="N17" s="89"/>
      <c r="O17" s="115"/>
      <c r="Q17" s="161" t="s">
        <v>1328</v>
      </c>
    </row>
    <row r="18" spans="1:17" x14ac:dyDescent="0.3">
      <c r="A18" s="88"/>
      <c r="B18" s="8"/>
      <c r="C18" s="8"/>
      <c r="D18" s="9"/>
      <c r="E18" s="9"/>
      <c r="F18" s="9"/>
      <c r="G18" s="9"/>
      <c r="H18" s="9"/>
      <c r="I18" s="9" t="s">
        <v>1050</v>
      </c>
      <c r="J18" s="9" t="s">
        <v>1050</v>
      </c>
      <c r="K18" s="9" t="s">
        <v>1050</v>
      </c>
      <c r="L18" s="9" t="s">
        <v>1050</v>
      </c>
      <c r="M18" s="9" t="s">
        <v>1050</v>
      </c>
      <c r="N18" s="89"/>
      <c r="O18" s="115"/>
      <c r="Q18" s="161" t="s">
        <v>1345</v>
      </c>
    </row>
    <row r="19" spans="1:17" x14ac:dyDescent="0.3">
      <c r="A19" s="88"/>
      <c r="B19" s="8"/>
      <c r="C19" s="8"/>
      <c r="D19" s="9"/>
      <c r="E19" s="9"/>
      <c r="F19" s="9"/>
      <c r="G19" s="9"/>
      <c r="H19" s="9"/>
      <c r="I19" s="9" t="s">
        <v>1050</v>
      </c>
      <c r="J19" s="9" t="s">
        <v>1050</v>
      </c>
      <c r="K19" s="9" t="s">
        <v>1050</v>
      </c>
      <c r="L19" s="9" t="s">
        <v>1050</v>
      </c>
      <c r="M19" s="9" t="s">
        <v>1050</v>
      </c>
      <c r="N19" s="89"/>
      <c r="O19" s="115"/>
    </row>
    <row r="20" spans="1:17" x14ac:dyDescent="0.3">
      <c r="A20" s="88"/>
      <c r="B20" s="8"/>
      <c r="C20" s="8"/>
      <c r="D20" s="9"/>
      <c r="E20" s="9"/>
      <c r="F20" s="9"/>
      <c r="G20" s="9"/>
      <c r="H20" s="9"/>
      <c r="I20" s="9" t="s">
        <v>1050</v>
      </c>
      <c r="J20" s="9" t="s">
        <v>1050</v>
      </c>
      <c r="K20" s="9" t="s">
        <v>1050</v>
      </c>
      <c r="L20" s="9" t="s">
        <v>1050</v>
      </c>
      <c r="M20" s="9" t="s">
        <v>1050</v>
      </c>
      <c r="N20" s="89"/>
      <c r="O20" s="115"/>
    </row>
    <row r="21" spans="1:17" x14ac:dyDescent="0.3">
      <c r="A21" s="88"/>
      <c r="B21" s="8"/>
      <c r="C21" s="8"/>
      <c r="D21" s="9"/>
      <c r="E21" s="9"/>
      <c r="F21" s="9"/>
      <c r="G21" s="9"/>
      <c r="H21" s="9"/>
      <c r="I21" s="9" t="s">
        <v>1050</v>
      </c>
      <c r="J21" s="9" t="s">
        <v>1050</v>
      </c>
      <c r="K21" s="9" t="s">
        <v>1050</v>
      </c>
      <c r="L21" s="9" t="s">
        <v>1050</v>
      </c>
      <c r="M21" s="9" t="s">
        <v>1050</v>
      </c>
      <c r="N21" s="89"/>
      <c r="O21" s="115"/>
    </row>
    <row r="23" spans="1:17" x14ac:dyDescent="0.3">
      <c r="A23" s="180" t="s">
        <v>1351</v>
      </c>
    </row>
    <row r="25" spans="1:17" x14ac:dyDescent="0.3">
      <c r="A25" t="s">
        <v>1350</v>
      </c>
    </row>
    <row r="26" spans="1:17" ht="25.2" customHeight="1" x14ac:dyDescent="0.3"/>
    <row r="27" spans="1:17" ht="18" customHeight="1" x14ac:dyDescent="0.3">
      <c r="A27" s="249" t="s">
        <v>1049</v>
      </c>
      <c r="B27" s="249"/>
      <c r="C27" s="249"/>
      <c r="D27" s="249"/>
      <c r="E27" s="249"/>
      <c r="F27" s="249"/>
      <c r="G27" s="249"/>
      <c r="H27" s="249"/>
      <c r="I27" s="249"/>
      <c r="J27" s="249"/>
      <c r="K27" s="249"/>
      <c r="L27" s="249"/>
      <c r="M27" s="249"/>
      <c r="N27" s="249"/>
    </row>
    <row r="28" spans="1:17" ht="37.799999999999997" customHeight="1" x14ac:dyDescent="0.3">
      <c r="A28" s="249" t="s">
        <v>1307</v>
      </c>
      <c r="B28" s="249"/>
      <c r="C28" s="249"/>
      <c r="D28" s="249"/>
      <c r="E28" s="249"/>
      <c r="F28" s="249"/>
      <c r="G28" s="249"/>
      <c r="H28" s="249"/>
      <c r="I28" s="249"/>
      <c r="J28" s="249"/>
      <c r="K28" s="249"/>
      <c r="L28" s="249"/>
      <c r="M28" s="249"/>
      <c r="N28" s="249"/>
    </row>
  </sheetData>
  <mergeCells count="5">
    <mergeCell ref="A1:E1"/>
    <mergeCell ref="L3:O3"/>
    <mergeCell ref="A28:N28"/>
    <mergeCell ref="A27:N27"/>
    <mergeCell ref="C3:D3"/>
  </mergeCells>
  <conditionalFormatting sqref="I6:I21">
    <cfRule type="containsText" dxfId="5" priority="1" operator="containsText" text="Hochrisiko">
      <formula>NOT(ISERROR(SEARCH("Hochrisiko",I6)))</formula>
    </cfRule>
  </conditionalFormatting>
  <conditionalFormatting sqref="J6:L21">
    <cfRule type="cellIs" dxfId="4" priority="3" operator="equal">
      <formula>"Erledigt"</formula>
    </cfRule>
  </conditionalFormatting>
  <conditionalFormatting sqref="M6:M21">
    <cfRule type="cellIs" dxfId="3" priority="2" operator="equal">
      <formula>"Sehr hoch"</formula>
    </cfRule>
    <cfRule type="cellIs" dxfId="2" priority="4" operator="equal">
      <formula>"Hoch"</formula>
    </cfRule>
    <cfRule type="cellIs" dxfId="1" priority="5" operator="equal">
      <formula>"Mittel"</formula>
    </cfRule>
    <cfRule type="cellIs" dxfId="0" priority="6" operator="equal">
      <formula>"Tief"</formula>
    </cfRule>
  </conditionalFormatting>
  <dataValidations count="3">
    <dataValidation type="list" allowBlank="1" showInputMessage="1" showErrorMessage="1" sqref="I6:I21" xr:uid="{373E26B4-9FBA-4C6B-A1F8-5BA0CCBF73F9}">
      <formula1>$Q$6:$Q$18</formula1>
    </dataValidation>
    <dataValidation type="list" allowBlank="1" showInputMessage="1" showErrorMessage="1" sqref="J6:L21" xr:uid="{4FB5CE77-BFEC-4008-8B0C-D31F7EC4A1EF}">
      <formula1>"(wählen),Nicht erledigt,Geplant,In Arbeit,Erledigt,N/A"</formula1>
    </dataValidation>
    <dataValidation type="list" allowBlank="1" showInputMessage="1" showErrorMessage="1" sqref="M6:M21" xr:uid="{6C56E2CE-FF2E-4CFB-84F0-BD0D2051F826}">
      <formula1>"(wählen),Tief,Mittel,Hoch,Sehr hoch"</formula1>
    </dataValidation>
  </dataValidations>
  <pageMargins left="0.7" right="0.7" top="0.78740157499999996" bottom="0.78740157499999996" header="0.3" footer="0.3"/>
  <pageSetup paperSize="9" scale="59"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0070C0"/>
  </sheetPr>
  <dimension ref="A1:H52"/>
  <sheetViews>
    <sheetView showGridLines="0" workbookViewId="0">
      <selection activeCell="A9" sqref="A9"/>
    </sheetView>
  </sheetViews>
  <sheetFormatPr baseColWidth="10" defaultColWidth="11.44140625" defaultRowHeight="14.4" x14ac:dyDescent="0.3"/>
  <cols>
    <col min="1" max="1" width="35.5546875" customWidth="1"/>
    <col min="2" max="2" width="13.21875" hidden="1" customWidth="1"/>
    <col min="4" max="4" width="18.44140625" customWidth="1"/>
    <col min="5" max="5" width="53.6640625" customWidth="1"/>
    <col min="6" max="6" width="66.6640625" customWidth="1"/>
    <col min="7" max="7" width="17.109375" customWidth="1"/>
  </cols>
  <sheetData>
    <row r="1" spans="1:7" ht="23.4" x14ac:dyDescent="0.45">
      <c r="A1" s="186" t="s">
        <v>388</v>
      </c>
      <c r="B1" s="186"/>
      <c r="C1" s="186"/>
      <c r="D1" s="186"/>
      <c r="E1" s="186"/>
      <c r="F1" s="59" t="str">
        <f>'AI Act Check E'!A2</f>
        <v>Version 3.4.2024</v>
      </c>
      <c r="G1" s="138"/>
    </row>
    <row r="2" spans="1:7" ht="12" customHeight="1" x14ac:dyDescent="0.3">
      <c r="G2" s="138"/>
    </row>
    <row r="3" spans="1:7" ht="34.200000000000003" customHeight="1" x14ac:dyDescent="0.3">
      <c r="A3" s="192" t="s">
        <v>877</v>
      </c>
      <c r="B3" s="192"/>
      <c r="C3" s="192"/>
      <c r="D3" s="192"/>
      <c r="E3" s="192"/>
      <c r="F3" s="192"/>
      <c r="G3" s="138"/>
    </row>
    <row r="4" spans="1:7" ht="15.6" customHeight="1" x14ac:dyDescent="0.3">
      <c r="G4" s="138"/>
    </row>
    <row r="5" spans="1:7" ht="78.599999999999994" customHeight="1" x14ac:dyDescent="0.3">
      <c r="A5" s="137" t="s">
        <v>776</v>
      </c>
      <c r="B5" s="137"/>
      <c r="E5" s="136" t="s">
        <v>790</v>
      </c>
      <c r="F5" s="136" t="s">
        <v>775</v>
      </c>
      <c r="G5" s="138"/>
    </row>
    <row r="6" spans="1:7" ht="25.2" customHeight="1" x14ac:dyDescent="0.3">
      <c r="A6" s="179" t="s">
        <v>1309</v>
      </c>
      <c r="G6" s="138"/>
    </row>
    <row r="7" spans="1:7" x14ac:dyDescent="0.3">
      <c r="A7" s="10" t="s">
        <v>433</v>
      </c>
      <c r="B7" s="10"/>
      <c r="C7" s="10" t="s">
        <v>381</v>
      </c>
      <c r="D7" s="10" t="s">
        <v>827</v>
      </c>
      <c r="E7" s="10" t="s">
        <v>773</v>
      </c>
      <c r="F7" s="10" t="s">
        <v>384</v>
      </c>
      <c r="G7" s="99" t="s">
        <v>91</v>
      </c>
    </row>
    <row r="8" spans="1:7" hidden="1" x14ac:dyDescent="0.3">
      <c r="A8" s="97" t="s">
        <v>31</v>
      </c>
      <c r="B8" s="139" t="str">
        <f>LEFT($A8,250)</f>
        <v>(select)</v>
      </c>
      <c r="C8" s="98"/>
      <c r="D8" s="98"/>
      <c r="E8" s="140"/>
      <c r="F8" s="140"/>
      <c r="G8" s="100" t="s">
        <v>91</v>
      </c>
    </row>
    <row r="9" spans="1:7" ht="115.2" x14ac:dyDescent="0.3">
      <c r="A9" s="97" t="s">
        <v>817</v>
      </c>
      <c r="B9" s="139" t="str">
        <f>LEFT($A9,250)</f>
        <v xml:space="preserve">Use of subliminal, purposefully manipulative or deceptive techniques, with the objective to or the effect of materially distorting behaviour or impairing the person’s ability to make an informed decision, that may result in a decision that causes or </v>
      </c>
      <c r="C9" s="98" t="s">
        <v>382</v>
      </c>
      <c r="D9" s="140" t="s">
        <v>822</v>
      </c>
      <c r="E9" s="140" t="s">
        <v>826</v>
      </c>
      <c r="F9" s="140" t="s">
        <v>826</v>
      </c>
      <c r="G9" s="100" t="s">
        <v>91</v>
      </c>
    </row>
    <row r="10" spans="1:7" ht="72" x14ac:dyDescent="0.3">
      <c r="A10" s="97" t="s">
        <v>793</v>
      </c>
      <c r="B10" s="139" t="str">
        <f t="shared" ref="B10:B44" si="0">LEFT($A10,250)</f>
        <v>Exploiting vulnerabilities of persons due to age, disability or a specific social or economic situation, to distort their behaviour in a manner that causes or is likely to cause significant harm</v>
      </c>
      <c r="C10" s="98" t="s">
        <v>382</v>
      </c>
      <c r="D10" s="140" t="s">
        <v>822</v>
      </c>
      <c r="E10" s="140" t="s">
        <v>826</v>
      </c>
      <c r="F10" s="140" t="s">
        <v>826</v>
      </c>
      <c r="G10" s="100" t="s">
        <v>91</v>
      </c>
    </row>
    <row r="11" spans="1:7" ht="72" x14ac:dyDescent="0.3">
      <c r="A11" s="97" t="s">
        <v>794</v>
      </c>
      <c r="B11" s="139" t="str">
        <f t="shared" si="0"/>
        <v>Biometric categorisation to deduce or infer a person's race, political opinion, trade union membership, religious or philosophical belief, sex life or sexual orientation (i.e. based on biometric data)</v>
      </c>
      <c r="C11" s="98" t="s">
        <v>382</v>
      </c>
      <c r="D11" s="140" t="s">
        <v>822</v>
      </c>
      <c r="E11" s="140" t="s">
        <v>826</v>
      </c>
      <c r="F11" s="140" t="s">
        <v>826</v>
      </c>
      <c r="G11" s="100" t="s">
        <v>91</v>
      </c>
    </row>
    <row r="12" spans="1:7" ht="115.2" x14ac:dyDescent="0.3">
      <c r="A12" s="97" t="s">
        <v>795</v>
      </c>
      <c r="B12" s="139" t="str">
        <f t="shared" si="0"/>
        <v>Evaluation or classification of persons over a period of time based on their social behaviour or known, inferred or predicted personality characteristics with this social scoring leading to detrimental or unfavourable treatment that is unrelated to t</v>
      </c>
      <c r="C12" s="98" t="s">
        <v>382</v>
      </c>
      <c r="D12" s="140" t="s">
        <v>822</v>
      </c>
      <c r="E12" s="140" t="s">
        <v>826</v>
      </c>
      <c r="F12" s="140" t="s">
        <v>826</v>
      </c>
      <c r="G12" s="100" t="s">
        <v>91</v>
      </c>
    </row>
    <row r="13" spans="1:7" ht="158.4" x14ac:dyDescent="0.3">
      <c r="A13" s="97" t="s">
        <v>815</v>
      </c>
      <c r="B13" s="139" t="str">
        <f t="shared" si="0"/>
        <v>Real-time remote biometric identification in publicly accessible spaces for the purpose of law enforcement, except for targeted victim searches, prevention of specific, substantial and imminent threats or the localisation or identification of suspect</v>
      </c>
      <c r="C13" s="98" t="s">
        <v>382</v>
      </c>
      <c r="D13" s="140" t="s">
        <v>822</v>
      </c>
      <c r="E13" s="140" t="s">
        <v>826</v>
      </c>
      <c r="F13" s="140" t="s">
        <v>826</v>
      </c>
      <c r="G13" s="100" t="s">
        <v>91</v>
      </c>
    </row>
    <row r="14" spans="1:7" ht="86.4" x14ac:dyDescent="0.3">
      <c r="A14" s="97" t="s">
        <v>796</v>
      </c>
      <c r="B14" s="139" t="str">
        <f t="shared" si="0"/>
        <v>Profiling or assessment of personality traits or characteristics of persons to asses or predict the risk of them committing criminal offences, except for assisting human risk assessments of specific persons involved in a crime</v>
      </c>
      <c r="C14" s="98" t="s">
        <v>382</v>
      </c>
      <c r="D14" s="140" t="s">
        <v>822</v>
      </c>
      <c r="E14" s="140" t="s">
        <v>826</v>
      </c>
      <c r="F14" s="140" t="s">
        <v>826</v>
      </c>
      <c r="G14" s="100" t="s">
        <v>91</v>
      </c>
    </row>
    <row r="15" spans="1:7" ht="57.6" x14ac:dyDescent="0.3">
      <c r="A15" s="97" t="s">
        <v>797</v>
      </c>
      <c r="B15" s="139" t="str">
        <f t="shared" si="0"/>
        <v>Creation or expansion of a facial recognition database based on untargeted scraping on the Internet or CCTV footage</v>
      </c>
      <c r="C15" s="98" t="s">
        <v>382</v>
      </c>
      <c r="D15" s="140" t="s">
        <v>822</v>
      </c>
      <c r="E15" s="140" t="s">
        <v>826</v>
      </c>
      <c r="F15" s="140" t="s">
        <v>826</v>
      </c>
      <c r="G15" s="100" t="s">
        <v>91</v>
      </c>
    </row>
    <row r="16" spans="1:7" ht="57.6" x14ac:dyDescent="0.3">
      <c r="A16" s="97" t="s">
        <v>798</v>
      </c>
      <c r="B16" s="139" t="str">
        <f t="shared" si="0"/>
        <v>Inferring emotions (including intent) of persons in workplace areas or in education institutions except where intended for medical or safety reasons</v>
      </c>
      <c r="C16" s="98" t="s">
        <v>382</v>
      </c>
      <c r="D16" s="140" t="s">
        <v>822</v>
      </c>
      <c r="E16" s="140" t="s">
        <v>826</v>
      </c>
      <c r="F16" s="140" t="s">
        <v>826</v>
      </c>
      <c r="G16" s="100" t="s">
        <v>91</v>
      </c>
    </row>
    <row r="17" spans="1:7" ht="28.8" x14ac:dyDescent="0.3">
      <c r="A17" s="97" t="s">
        <v>824</v>
      </c>
      <c r="B17" s="139" t="str">
        <f t="shared" si="0"/>
        <v>Yes, another activity listed in Art. 5 AI Act</v>
      </c>
      <c r="C17" s="98" t="s">
        <v>382</v>
      </c>
      <c r="D17" s="140" t="s">
        <v>822</v>
      </c>
      <c r="E17" s="140" t="s">
        <v>826</v>
      </c>
      <c r="F17" s="140" t="s">
        <v>826</v>
      </c>
      <c r="G17" s="100" t="s">
        <v>91</v>
      </c>
    </row>
    <row r="18" spans="1:7" ht="43.2" x14ac:dyDescent="0.3">
      <c r="A18" s="97" t="s">
        <v>823</v>
      </c>
      <c r="B18" s="139" t="str">
        <f t="shared" si="0"/>
        <v>None of the activities describes what we are doing</v>
      </c>
      <c r="C18" s="98" t="s">
        <v>382</v>
      </c>
      <c r="D18" s="140" t="s">
        <v>856</v>
      </c>
      <c r="E18" s="140" t="s">
        <v>826</v>
      </c>
      <c r="F18" s="140" t="s">
        <v>826</v>
      </c>
      <c r="G18" s="100" t="s">
        <v>91</v>
      </c>
    </row>
    <row r="19" spans="1:7" hidden="1" x14ac:dyDescent="0.3">
      <c r="A19" s="97" t="s">
        <v>31</v>
      </c>
      <c r="B19" s="139" t="str">
        <f t="shared" si="0"/>
        <v>(select)</v>
      </c>
      <c r="C19" s="98" t="s">
        <v>753</v>
      </c>
      <c r="D19" s="98"/>
      <c r="E19" s="140"/>
      <c r="F19" s="140"/>
      <c r="G19" s="100" t="s">
        <v>91</v>
      </c>
    </row>
    <row r="20" spans="1:7" ht="158.4" x14ac:dyDescent="0.3">
      <c r="A20" s="97" t="s">
        <v>799</v>
      </c>
      <c r="B20" s="139" t="str">
        <f t="shared" si="0"/>
        <v>The AI system is a safety component of a product or a product itself that under existing EU law (Annex II) has to undergo a third-party conformity assessment before being placed on the market or put into service</v>
      </c>
      <c r="C20" s="98" t="s">
        <v>753</v>
      </c>
      <c r="D20" s="140" t="s">
        <v>839</v>
      </c>
      <c r="E20" s="98" t="s">
        <v>1301</v>
      </c>
      <c r="F20" s="98" t="s">
        <v>825</v>
      </c>
      <c r="G20" s="100" t="s">
        <v>91</v>
      </c>
    </row>
    <row r="21" spans="1:7" ht="158.4" x14ac:dyDescent="0.3">
      <c r="A21" s="98" t="s">
        <v>816</v>
      </c>
      <c r="B21" s="139" t="str">
        <f t="shared" si="0"/>
        <v>Remote biometric identification beyond mere authentication and biometric categorization and using or inferring from sensitive or protected characteristics</v>
      </c>
      <c r="C21" s="98" t="s">
        <v>753</v>
      </c>
      <c r="D21" s="140" t="s">
        <v>839</v>
      </c>
      <c r="E21" s="98" t="s">
        <v>1301</v>
      </c>
      <c r="F21" s="98" t="s">
        <v>825</v>
      </c>
      <c r="G21" s="100" t="s">
        <v>91</v>
      </c>
    </row>
    <row r="22" spans="1:7" ht="158.4" x14ac:dyDescent="0.3">
      <c r="A22" s="98" t="s">
        <v>818</v>
      </c>
      <c r="B22" s="139" t="str">
        <f t="shared" si="0"/>
        <v xml:space="preserve">Inferring emotions or intentions based on biometrics (emotion recognition) </v>
      </c>
      <c r="C22" s="98" t="s">
        <v>753</v>
      </c>
      <c r="D22" s="140" t="s">
        <v>839</v>
      </c>
      <c r="E22" s="98" t="s">
        <v>1301</v>
      </c>
      <c r="F22" s="98" t="s">
        <v>825</v>
      </c>
      <c r="G22" s="100" t="s">
        <v>91</v>
      </c>
    </row>
    <row r="23" spans="1:7" ht="158.4" x14ac:dyDescent="0.3">
      <c r="A23" s="98" t="s">
        <v>800</v>
      </c>
      <c r="B23" s="139" t="str">
        <f t="shared" si="0"/>
        <v>AI is to be used as a safety component in the management and operation of critical infrastructure, road traffic or the supply of water, gas, etc.</v>
      </c>
      <c r="C23" s="98" t="s">
        <v>753</v>
      </c>
      <c r="D23" s="140" t="s">
        <v>839</v>
      </c>
      <c r="E23" s="98" t="s">
        <v>1301</v>
      </c>
      <c r="F23" s="98" t="s">
        <v>825</v>
      </c>
      <c r="G23" s="100" t="s">
        <v>91</v>
      </c>
    </row>
    <row r="24" spans="1:7" ht="158.4" x14ac:dyDescent="0.3">
      <c r="A24" s="98" t="s">
        <v>801</v>
      </c>
      <c r="B24" s="139" t="str">
        <f t="shared" si="0"/>
        <v>Use in education and vocational training, insofar (i) access, admission or assignment is to be determined by AI, (ii) AI is to evaluate learning outcomes or educational level of persons, or (iii) AI is to be used to monitor or detect prohibited behav</v>
      </c>
      <c r="C24" s="98" t="s">
        <v>753</v>
      </c>
      <c r="D24" s="140" t="s">
        <v>839</v>
      </c>
      <c r="E24" s="98" t="s">
        <v>1301</v>
      </c>
      <c r="F24" s="98" t="s">
        <v>825</v>
      </c>
      <c r="G24" s="100" t="s">
        <v>91</v>
      </c>
    </row>
    <row r="25" spans="1:7" ht="158.4" x14ac:dyDescent="0.3">
      <c r="A25" s="98" t="s">
        <v>802</v>
      </c>
      <c r="B25" s="139" t="str">
        <f t="shared" si="0"/>
        <v>Employment, workers management and access to self-employment, insofar (i) AI is to be used for recruitment or selection of persons or (ii) AI is to be used to make decisions affecting the terms of employment (e.g., promotion, termination), evaluate p</v>
      </c>
      <c r="C25" s="98" t="s">
        <v>753</v>
      </c>
      <c r="D25" s="140" t="s">
        <v>839</v>
      </c>
      <c r="E25" s="98" t="s">
        <v>1301</v>
      </c>
      <c r="F25" s="98" t="s">
        <v>825</v>
      </c>
      <c r="G25" s="100" t="s">
        <v>91</v>
      </c>
    </row>
    <row r="26" spans="1:7" ht="158.4" x14ac:dyDescent="0.3">
      <c r="A26" s="98" t="s">
        <v>803</v>
      </c>
      <c r="B26" s="139" t="str">
        <f t="shared" si="0"/>
        <v xml:space="preserve">AI is to be used for evaluating (for or as a public authority) whether essential public assistance benefits and services, including healthcare, are or continue to be available to a particular person  </v>
      </c>
      <c r="C26" s="98" t="s">
        <v>753</v>
      </c>
      <c r="D26" s="140" t="s">
        <v>839</v>
      </c>
      <c r="E26" s="98" t="s">
        <v>1301</v>
      </c>
      <c r="F26" s="98" t="s">
        <v>825</v>
      </c>
      <c r="G26" s="100" t="s">
        <v>91</v>
      </c>
    </row>
    <row r="27" spans="1:7" ht="158.4" x14ac:dyDescent="0.3">
      <c r="A27" s="98" t="s">
        <v>754</v>
      </c>
      <c r="B27" s="139" t="str">
        <f t="shared" si="0"/>
        <v>AI is to be used for evaluating the creditworthiness of a person or their credit score, except for the purpose of detecting financial fraud</v>
      </c>
      <c r="C27" s="98" t="s">
        <v>753</v>
      </c>
      <c r="D27" s="140" t="s">
        <v>839</v>
      </c>
      <c r="E27" s="98" t="s">
        <v>1301</v>
      </c>
      <c r="F27" s="98" t="s">
        <v>825</v>
      </c>
      <c r="G27" s="100" t="s">
        <v>91</v>
      </c>
    </row>
    <row r="28" spans="1:7" ht="158.4" x14ac:dyDescent="0.3">
      <c r="A28" s="98" t="s">
        <v>791</v>
      </c>
      <c r="B28" s="139" t="str">
        <f t="shared" si="0"/>
        <v xml:space="preserve">AI is to be used to evaluate and classify emergency calls by persons or in dispatching or triaging emergency first response or services or health care </v>
      </c>
      <c r="C28" s="98" t="s">
        <v>753</v>
      </c>
      <c r="D28" s="140" t="s">
        <v>839</v>
      </c>
      <c r="E28" s="98" t="s">
        <v>1301</v>
      </c>
      <c r="F28" s="98" t="s">
        <v>825</v>
      </c>
      <c r="G28" s="100" t="s">
        <v>91</v>
      </c>
    </row>
    <row r="29" spans="1:7" ht="158.4" x14ac:dyDescent="0.3">
      <c r="A29" s="98" t="s">
        <v>814</v>
      </c>
      <c r="B29" s="139" t="str">
        <f t="shared" si="0"/>
        <v>AI is to be used for risk assessments and pricing of life or health insurance</v>
      </c>
      <c r="C29" s="98" t="s">
        <v>753</v>
      </c>
      <c r="D29" s="140" t="s">
        <v>839</v>
      </c>
      <c r="E29" s="98" t="s">
        <v>1301</v>
      </c>
      <c r="F29" s="98" t="s">
        <v>825</v>
      </c>
      <c r="G29" s="100" t="s">
        <v>91</v>
      </c>
    </row>
    <row r="30" spans="1:7" ht="158.4" x14ac:dyDescent="0.3">
      <c r="A30" s="98" t="s">
        <v>755</v>
      </c>
      <c r="B30" s="139" t="str">
        <f t="shared" si="0"/>
        <v>Law enforcement use, where (i) AI is to be used for assessing the risk of a person becoming victim of criminal offences, (ii) AI is to be used as a polygraph or similar tool or (iii) AI is to be used to detect the reliability of evidence (in each cas</v>
      </c>
      <c r="C30" s="98" t="s">
        <v>753</v>
      </c>
      <c r="D30" s="140" t="s">
        <v>839</v>
      </c>
      <c r="E30" s="98" t="s">
        <v>1301</v>
      </c>
      <c r="F30" s="98" t="s">
        <v>825</v>
      </c>
      <c r="G30" s="100" t="s">
        <v>91</v>
      </c>
    </row>
    <row r="31" spans="1:7" ht="158.4" x14ac:dyDescent="0.3">
      <c r="A31" s="98" t="s">
        <v>804</v>
      </c>
      <c r="B31" s="139" t="str">
        <f t="shared" si="0"/>
        <v>Law enforcement use, where (i) AI is to assess the risk of a person offending or re-offending not solely based on their (automated) profiling, (ii) AI is to be used to assess personality traits, characteristics or past criminal behaviour of a person,</v>
      </c>
      <c r="C31" s="98" t="s">
        <v>753</v>
      </c>
      <c r="D31" s="140" t="s">
        <v>839</v>
      </c>
      <c r="E31" s="98" t="s">
        <v>1301</v>
      </c>
      <c r="F31" s="98" t="s">
        <v>825</v>
      </c>
      <c r="G31" s="100" t="s">
        <v>91</v>
      </c>
    </row>
    <row r="32" spans="1:7" ht="158.4" x14ac:dyDescent="0.3">
      <c r="A32" s="98" t="s">
        <v>819</v>
      </c>
      <c r="B32" s="139" t="str">
        <f t="shared" si="0"/>
        <v>Migration, asylum and border control management use, where (i) AI is to be used as a polygraph or similar tool, (ii) AI is to be used for assessing risks posed by persons entering the EU, (iii) AI is to be used to examine applications for asylum, vis</v>
      </c>
      <c r="C32" s="98" t="s">
        <v>753</v>
      </c>
      <c r="D32" s="140" t="s">
        <v>839</v>
      </c>
      <c r="E32" s="98" t="s">
        <v>1301</v>
      </c>
      <c r="F32" s="98" t="s">
        <v>825</v>
      </c>
      <c r="G32" s="100" t="s">
        <v>91</v>
      </c>
    </row>
    <row r="33" spans="1:7" ht="158.4" x14ac:dyDescent="0.3">
      <c r="A33" s="98" t="s">
        <v>805</v>
      </c>
      <c r="B33" s="139" t="str">
        <f t="shared" si="0"/>
        <v>AI is to be used by a judicial authority or on their behalf or in an alternative dispute resolution to assist the judicial authority in researching and interpreting facts and the law and applying it to a specific case</v>
      </c>
      <c r="C33" s="98" t="s">
        <v>753</v>
      </c>
      <c r="D33" s="140" t="s">
        <v>839</v>
      </c>
      <c r="E33" s="98" t="s">
        <v>1301</v>
      </c>
      <c r="F33" s="98" t="s">
        <v>825</v>
      </c>
      <c r="G33" s="100" t="s">
        <v>91</v>
      </c>
    </row>
    <row r="34" spans="1:7" ht="158.4" x14ac:dyDescent="0.3">
      <c r="A34" s="98" t="s">
        <v>756</v>
      </c>
      <c r="B34" s="139" t="str">
        <f t="shared" si="0"/>
        <v>AI is to be used to influence the outcome of an election or voting referendum or individual voting, but not where persons are not directly exposed to the output of AI (e.g., AI systems used for organising, optimising and structuring the administratio</v>
      </c>
      <c r="C34" s="98" t="s">
        <v>753</v>
      </c>
      <c r="D34" s="140" t="s">
        <v>839</v>
      </c>
      <c r="E34" s="98" t="s">
        <v>1301</v>
      </c>
      <c r="F34" s="98" t="s">
        <v>825</v>
      </c>
      <c r="G34" s="100" t="s">
        <v>91</v>
      </c>
    </row>
    <row r="35" spans="1:7" ht="57.6" x14ac:dyDescent="0.3">
      <c r="A35" s="97" t="s">
        <v>823</v>
      </c>
      <c r="B35" s="139" t="str">
        <f t="shared" si="0"/>
        <v>None of the activities describes what we are doing</v>
      </c>
      <c r="C35" s="98" t="s">
        <v>753</v>
      </c>
      <c r="D35" s="140" t="s">
        <v>840</v>
      </c>
      <c r="E35" s="140"/>
      <c r="F35" s="140"/>
      <c r="G35" s="100" t="s">
        <v>91</v>
      </c>
    </row>
    <row r="36" spans="1:7" ht="93" customHeight="1" x14ac:dyDescent="0.3">
      <c r="A36" s="98" t="s">
        <v>806</v>
      </c>
      <c r="B36" s="139" t="str">
        <f t="shared" si="0"/>
        <v>A high-risk AI system as laid out above, but the AI system at issue (i) poses no significant risk of harm (e.g., narrow procedural task, quality control of human activities or completed decision making) and (ii) does not perform any profiling</v>
      </c>
      <c r="C36" s="98" t="s">
        <v>1368</v>
      </c>
      <c r="D36" s="140" t="s">
        <v>840</v>
      </c>
      <c r="E36" s="98" t="s">
        <v>828</v>
      </c>
      <c r="F36" s="98" t="s">
        <v>810</v>
      </c>
      <c r="G36" s="100" t="s">
        <v>91</v>
      </c>
    </row>
    <row r="37" spans="1:7" ht="72" x14ac:dyDescent="0.3">
      <c r="A37" s="98" t="s">
        <v>1572</v>
      </c>
      <c r="B37" s="139" t="str">
        <f t="shared" si="0"/>
        <v xml:space="preserve">An AI system that interacts directly with individuals, except for those systems authorised by law to detect, prevent, investigate and prosecute criminal offences </v>
      </c>
      <c r="C37" s="98" t="s">
        <v>841</v>
      </c>
      <c r="D37" s="140" t="s">
        <v>928</v>
      </c>
      <c r="E37" s="98"/>
      <c r="F37" s="98" t="s">
        <v>792</v>
      </c>
      <c r="G37" s="100" t="s">
        <v>91</v>
      </c>
    </row>
    <row r="38" spans="1:7" ht="72" x14ac:dyDescent="0.3">
      <c r="A38" s="98" t="s">
        <v>925</v>
      </c>
      <c r="B38" s="139" t="str">
        <f t="shared" si="0"/>
        <v>An AI system that generates synthetic audio, image, video or text content</v>
      </c>
      <c r="C38" s="98" t="s">
        <v>841</v>
      </c>
      <c r="D38" s="140" t="s">
        <v>928</v>
      </c>
      <c r="E38" s="98"/>
      <c r="F38" s="98" t="s">
        <v>807</v>
      </c>
      <c r="G38" s="100" t="s">
        <v>91</v>
      </c>
    </row>
    <row r="39" spans="1:7" ht="85.8" customHeight="1" x14ac:dyDescent="0.3">
      <c r="A39" s="98" t="s">
        <v>820</v>
      </c>
      <c r="B39" s="139" t="str">
        <f t="shared" si="0"/>
        <v>An AI system that infers or detects emotions and intents or does biometric categorization, except for those systems that are permitted by law to detect, prevent and investigate criminal offences</v>
      </c>
      <c r="C39" s="98" t="s">
        <v>841</v>
      </c>
      <c r="D39" s="140" t="s">
        <v>928</v>
      </c>
      <c r="E39" s="98" t="s">
        <v>1302</v>
      </c>
      <c r="F39" s="98"/>
      <c r="G39" s="100" t="s">
        <v>91</v>
      </c>
    </row>
    <row r="40" spans="1:7" ht="57.6" x14ac:dyDescent="0.3">
      <c r="A40" s="98" t="s">
        <v>926</v>
      </c>
      <c r="B40" s="139" t="str">
        <f t="shared" si="0"/>
        <v>An AI system that generates "deep fakes"</v>
      </c>
      <c r="C40" s="98" t="s">
        <v>841</v>
      </c>
      <c r="D40" s="140" t="s">
        <v>928</v>
      </c>
      <c r="E40" s="98" t="s">
        <v>1303</v>
      </c>
      <c r="F40" s="98"/>
      <c r="G40" s="100" t="s">
        <v>91</v>
      </c>
    </row>
    <row r="41" spans="1:7" ht="72" x14ac:dyDescent="0.3">
      <c r="A41" s="98" t="s">
        <v>927</v>
      </c>
      <c r="B41" s="139" t="str">
        <f t="shared" si="0"/>
        <v>AI generation or manipulation of text which is published for the purpose of informing the public</v>
      </c>
      <c r="C41" s="98" t="s">
        <v>841</v>
      </c>
      <c r="D41" s="140" t="s">
        <v>928</v>
      </c>
      <c r="E41" s="98" t="s">
        <v>1304</v>
      </c>
      <c r="F41" s="98"/>
      <c r="G41" s="100" t="s">
        <v>91</v>
      </c>
    </row>
    <row r="42" spans="1:7" ht="100.8" x14ac:dyDescent="0.3">
      <c r="A42" s="98" t="s">
        <v>930</v>
      </c>
      <c r="B42" s="139" t="str">
        <f t="shared" si="0"/>
        <v>A general-purpose AI model</v>
      </c>
      <c r="C42" s="98" t="s">
        <v>843</v>
      </c>
      <c r="D42" s="140" t="s">
        <v>929</v>
      </c>
      <c r="E42" s="98"/>
      <c r="F42" s="98" t="s">
        <v>813</v>
      </c>
      <c r="G42" s="100" t="s">
        <v>91</v>
      </c>
    </row>
    <row r="43" spans="1:7" ht="129.6" x14ac:dyDescent="0.3">
      <c r="A43" s="98" t="s">
        <v>821</v>
      </c>
      <c r="B43" s="139" t="str">
        <f t="shared" si="0"/>
        <v xml:space="preserve">A general-purpose AI model with a "systemic risk" because it (i) has high impact capabilities (including where its training has involved 10^25 FLOPS or greater) or (ii) it has been determined as being the foregoing </v>
      </c>
      <c r="C43" s="98" t="s">
        <v>842</v>
      </c>
      <c r="D43" s="140" t="s">
        <v>931</v>
      </c>
      <c r="E43" s="98"/>
      <c r="F43" s="98" t="s">
        <v>812</v>
      </c>
      <c r="G43" s="100"/>
    </row>
    <row r="44" spans="1:7" ht="28.8" x14ac:dyDescent="0.3">
      <c r="A44" s="98" t="s">
        <v>933</v>
      </c>
      <c r="B44" s="139" t="str">
        <f t="shared" si="0"/>
        <v>Anyone using an AI system or general purpose AI model</v>
      </c>
      <c r="C44" s="98" t="s">
        <v>932</v>
      </c>
      <c r="D44" s="98"/>
      <c r="E44" s="98" t="s">
        <v>1305</v>
      </c>
      <c r="F44" s="98" t="s">
        <v>1306</v>
      </c>
      <c r="G44" s="100" t="s">
        <v>91</v>
      </c>
    </row>
    <row r="45" spans="1:7" s="56" customFormat="1" x14ac:dyDescent="0.3">
      <c r="A45" s="100" t="s">
        <v>91</v>
      </c>
      <c r="B45" s="100" t="s">
        <v>91</v>
      </c>
      <c r="E45" s="101" t="s">
        <v>91</v>
      </c>
      <c r="F45" s="101" t="s">
        <v>91</v>
      </c>
    </row>
    <row r="46" spans="1:7" s="56" customFormat="1" x14ac:dyDescent="0.3">
      <c r="A46" s="100">
        <f>ROW($A$46)</f>
        <v>46</v>
      </c>
      <c r="B46" s="100">
        <f>ROW($A$46)</f>
        <v>46</v>
      </c>
      <c r="E46" s="101">
        <v>3</v>
      </c>
      <c r="F46" s="101">
        <v>4</v>
      </c>
      <c r="G46" s="56">
        <v>5</v>
      </c>
    </row>
    <row r="47" spans="1:7" ht="67.95" customHeight="1" x14ac:dyDescent="0.3">
      <c r="A47" s="1" t="s">
        <v>774</v>
      </c>
      <c r="B47" s="1"/>
      <c r="C47" s="265" t="s">
        <v>873</v>
      </c>
      <c r="D47" s="265"/>
      <c r="E47" s="265"/>
      <c r="F47" s="136"/>
    </row>
    <row r="48" spans="1:7" x14ac:dyDescent="0.3">
      <c r="A48" s="2"/>
      <c r="B48" s="2"/>
    </row>
    <row r="50" spans="1:8" ht="25.2" customHeight="1" x14ac:dyDescent="0.3">
      <c r="A50" s="263" t="s">
        <v>441</v>
      </c>
      <c r="B50" s="263"/>
      <c r="C50" s="263"/>
      <c r="D50" s="263"/>
      <c r="E50" s="263"/>
      <c r="F50" s="263"/>
      <c r="G50" s="92"/>
      <c r="H50" s="92"/>
    </row>
    <row r="51" spans="1:8" ht="40.200000000000003" customHeight="1" x14ac:dyDescent="0.3">
      <c r="A51" s="264" t="s">
        <v>435</v>
      </c>
      <c r="B51" s="264"/>
      <c r="C51" s="264"/>
      <c r="D51" s="264"/>
      <c r="E51" s="264"/>
      <c r="F51" s="264"/>
      <c r="G51" s="92"/>
      <c r="H51" s="92"/>
    </row>
    <row r="52" spans="1:8" ht="15.6" customHeight="1" x14ac:dyDescent="0.3"/>
  </sheetData>
  <mergeCells count="4">
    <mergeCell ref="A50:F50"/>
    <mergeCell ref="A51:F51"/>
    <mergeCell ref="C47:E47"/>
    <mergeCell ref="A3:F3"/>
  </mergeCells>
  <hyperlinks>
    <hyperlink ref="C47:E47" r:id="rId1" display="European Parliament legislative resolution of 13 March 2024 on the proposal for a regulation of the European Parliament and of the Council on laying down harmonised rules on Artificial Intelligence (Artificial Intelligence Act) and amending certain Union Legislative Acts (COM(2021)0206 – C9-0146/2021 – 2021/0106(COD))" xr:uid="{00000000-0004-0000-0500-000000000000}"/>
  </hyperlinks>
  <pageMargins left="0.7" right="0.7" top="0.78740157499999996" bottom="0.78740157499999996" header="0.3" footer="0.3"/>
  <pageSetup paperSize="9" scale="47"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70CF7-6B2D-4A30-98FC-C576ED8B64B6}">
  <sheetPr codeName="Tabelle11">
    <tabColor rgb="FF0070C0"/>
  </sheetPr>
  <dimension ref="A1:H52"/>
  <sheetViews>
    <sheetView showGridLines="0" workbookViewId="0">
      <selection activeCell="A9" sqref="A9"/>
    </sheetView>
  </sheetViews>
  <sheetFormatPr baseColWidth="10" defaultColWidth="11.44140625" defaultRowHeight="14.4" x14ac:dyDescent="0.3"/>
  <cols>
    <col min="1" max="1" width="41.5546875" customWidth="1"/>
    <col min="2" max="2" width="7.109375" hidden="1" customWidth="1"/>
    <col min="4" max="4" width="18.44140625" customWidth="1"/>
    <col min="5" max="5" width="53.6640625" customWidth="1"/>
    <col min="6" max="6" width="66.6640625" customWidth="1"/>
    <col min="7" max="7" width="17.109375" customWidth="1"/>
  </cols>
  <sheetData>
    <row r="1" spans="1:7" ht="23.4" x14ac:dyDescent="0.45">
      <c r="A1" s="186" t="s">
        <v>388</v>
      </c>
      <c r="B1" s="186"/>
      <c r="C1" s="186"/>
      <c r="D1" s="186"/>
      <c r="E1" s="186"/>
      <c r="F1" s="31" t="str">
        <f>'AI Act Check D'!A2</f>
        <v>Version 3.4.2024</v>
      </c>
      <c r="G1" s="138"/>
    </row>
    <row r="2" spans="1:7" ht="12" customHeight="1" x14ac:dyDescent="0.3">
      <c r="G2" s="138"/>
    </row>
    <row r="3" spans="1:7" ht="49.8" customHeight="1" x14ac:dyDescent="0.3">
      <c r="A3" s="192" t="s">
        <v>1300</v>
      </c>
      <c r="B3" s="192"/>
      <c r="C3" s="192"/>
      <c r="D3" s="192"/>
      <c r="E3" s="192"/>
      <c r="F3" s="192"/>
      <c r="G3" s="138"/>
    </row>
    <row r="4" spans="1:7" ht="15.6" customHeight="1" x14ac:dyDescent="0.3">
      <c r="G4" s="138"/>
    </row>
    <row r="5" spans="1:7" ht="93.6" customHeight="1" x14ac:dyDescent="0.3">
      <c r="A5" s="137" t="s">
        <v>1095</v>
      </c>
      <c r="B5" s="137"/>
      <c r="E5" s="136" t="s">
        <v>1246</v>
      </c>
      <c r="F5" s="136" t="s">
        <v>1247</v>
      </c>
      <c r="G5" s="138"/>
    </row>
    <row r="6" spans="1:7" ht="25.2" customHeight="1" x14ac:dyDescent="0.3">
      <c r="A6" s="179" t="s">
        <v>1308</v>
      </c>
      <c r="G6" s="138"/>
    </row>
    <row r="7" spans="1:7" x14ac:dyDescent="0.3">
      <c r="A7" s="10" t="s">
        <v>1096</v>
      </c>
      <c r="B7" s="10"/>
      <c r="C7" s="10" t="s">
        <v>1097</v>
      </c>
      <c r="D7" s="10" t="s">
        <v>1098</v>
      </c>
      <c r="E7" s="10" t="s">
        <v>1248</v>
      </c>
      <c r="F7" s="10" t="s">
        <v>1099</v>
      </c>
      <c r="G7" s="99" t="s">
        <v>91</v>
      </c>
    </row>
    <row r="8" spans="1:7" hidden="1" x14ac:dyDescent="0.3">
      <c r="A8" s="97" t="s">
        <v>1050</v>
      </c>
      <c r="B8" s="139" t="str">
        <f>LEFT($A8,250)</f>
        <v>(wählen)</v>
      </c>
      <c r="C8" s="98"/>
      <c r="D8" s="98"/>
      <c r="E8" s="140"/>
      <c r="F8" s="140"/>
      <c r="G8" s="100" t="s">
        <v>91</v>
      </c>
    </row>
    <row r="9" spans="1:7" ht="129.6" x14ac:dyDescent="0.3">
      <c r="A9" s="97" t="s">
        <v>1273</v>
      </c>
      <c r="B9" s="139" t="str">
        <f>LEFT($A9,250)</f>
        <v>Verwendung von unterschwelligen, absichtlich manipulativen oder täuschenden Techniken, die darauf abzielen oder bewirken, dass das Verhalten einer Person wesentlich verzerrt wird oder die Fähigkeit der Person, eine informierte Entscheidung zu treffen</v>
      </c>
      <c r="C9" s="98" t="s">
        <v>382</v>
      </c>
      <c r="D9" s="140" t="s">
        <v>1251</v>
      </c>
      <c r="E9" s="140" t="s">
        <v>1100</v>
      </c>
      <c r="F9" s="140" t="s">
        <v>1100</v>
      </c>
      <c r="G9" s="100" t="s">
        <v>91</v>
      </c>
    </row>
    <row r="10" spans="1:7" ht="86.4" x14ac:dyDescent="0.3">
      <c r="A10" s="97" t="s">
        <v>1274</v>
      </c>
      <c r="B10" s="139" t="str">
        <f t="shared" ref="B10:B44" si="0">LEFT($A10,250)</f>
        <v>Ausnutzen von Schwächen von Personen aufgrund ihres Alters, einer Behinderung oder einer besonderen sozialen oder wirtschaftlichen Situation, um ihr Verhalten in einer Weise zu beeinflussen, die ihnen einen erheblichen Schaden verursacht oder verursa</v>
      </c>
      <c r="C10" s="98" t="s">
        <v>382</v>
      </c>
      <c r="D10" s="140" t="s">
        <v>1251</v>
      </c>
      <c r="E10" s="140" t="s">
        <v>1100</v>
      </c>
      <c r="F10" s="140" t="s">
        <v>1100</v>
      </c>
      <c r="G10" s="100" t="s">
        <v>91</v>
      </c>
    </row>
    <row r="11" spans="1:7" ht="100.8" x14ac:dyDescent="0.3">
      <c r="A11" s="97" t="s">
        <v>1268</v>
      </c>
      <c r="B11" s="139" t="str">
        <f t="shared" si="0"/>
        <v>Biometrische Klassifizierung, um Rückschlüsse auf die Rasse, die politische Meinung, die Gewerkschaftszugehörigkeit, die religiöse oder philosophische Überzeugung, das Sexualleben oder die sexuelle Ausrichtung einer Person zu ziehen (d. h. auf der Gr</v>
      </c>
      <c r="C11" s="98" t="s">
        <v>382</v>
      </c>
      <c r="D11" s="140" t="s">
        <v>1251</v>
      </c>
      <c r="E11" s="140" t="s">
        <v>1100</v>
      </c>
      <c r="F11" s="140" t="s">
        <v>1100</v>
      </c>
      <c r="G11" s="100" t="s">
        <v>91</v>
      </c>
    </row>
    <row r="12" spans="1:7" ht="144" x14ac:dyDescent="0.3">
      <c r="A12" s="97" t="s">
        <v>1275</v>
      </c>
      <c r="B12" s="139" t="str">
        <f t="shared" si="0"/>
        <v>Bewertung oder Klassifizierung von Personen über einen bestimmten Zeitraum hinweg auf der Grundlage ihres Sozialverhaltens (Social Scoring) oder bekannter, abgeleiteter oder vorhergesagter Persönlichkeitsmerkmale, falls diese soziale Bewertung zu ein</v>
      </c>
      <c r="C12" s="98" t="s">
        <v>382</v>
      </c>
      <c r="D12" s="140" t="s">
        <v>1251</v>
      </c>
      <c r="E12" s="140" t="s">
        <v>1100</v>
      </c>
      <c r="F12" s="140" t="s">
        <v>1100</v>
      </c>
      <c r="G12" s="100" t="s">
        <v>91</v>
      </c>
    </row>
    <row r="13" spans="1:7" ht="172.8" x14ac:dyDescent="0.3">
      <c r="A13" s="97" t="s">
        <v>1269</v>
      </c>
      <c r="B13" s="139" t="str">
        <f t="shared" si="0"/>
        <v>Biometrische Identifizierung aus der Ferne und in Echtzeit in öffentlich zugänglichen Räumen zum Zweck der Strafverfolgung, mit Ausnahme der gezielten Suche nach Opfern, der Vorbeugung spezifischer Bedrohungen im Falle erheblicher und unmittelbar bev</v>
      </c>
      <c r="C13" s="98" t="s">
        <v>382</v>
      </c>
      <c r="D13" s="140" t="s">
        <v>1251</v>
      </c>
      <c r="E13" s="140" t="s">
        <v>1100</v>
      </c>
      <c r="F13" s="140" t="s">
        <v>1100</v>
      </c>
      <c r="G13" s="100" t="s">
        <v>91</v>
      </c>
    </row>
    <row r="14" spans="1:7" ht="86.4" x14ac:dyDescent="0.3">
      <c r="A14" s="97" t="s">
        <v>1270</v>
      </c>
      <c r="B14" s="139" t="str">
        <f t="shared" si="0"/>
        <v>Erstellung von Profilen oder Bewertung von Persönlichkeitsmerkmalen oder Eigenschaften von Personen, um das Risiko der Begehung von Straftaten einzuschätzen oder vorherzusagen, ausser zur Unterstützung der Risikobewertung von Personen, die an einer S</v>
      </c>
      <c r="C14" s="98" t="s">
        <v>382</v>
      </c>
      <c r="D14" s="140" t="s">
        <v>1251</v>
      </c>
      <c r="E14" s="140" t="s">
        <v>1100</v>
      </c>
      <c r="F14" s="140" t="s">
        <v>1100</v>
      </c>
      <c r="G14" s="100" t="s">
        <v>91</v>
      </c>
    </row>
    <row r="15" spans="1:7" ht="57.6" x14ac:dyDescent="0.3">
      <c r="A15" s="97" t="s">
        <v>1271</v>
      </c>
      <c r="B15" s="139" t="str">
        <f t="shared" si="0"/>
        <v>Aufbau oder Erweiterung einer Gesichtserkennungsdatenbank auf der Grundlage von ungezieltem Scraping im Internet oder CCTV-Aufnahmen</v>
      </c>
      <c r="C15" s="98" t="s">
        <v>382</v>
      </c>
      <c r="D15" s="140" t="s">
        <v>1251</v>
      </c>
      <c r="E15" s="140" t="s">
        <v>1100</v>
      </c>
      <c r="F15" s="140" t="s">
        <v>1100</v>
      </c>
      <c r="G15" s="100" t="s">
        <v>91</v>
      </c>
    </row>
    <row r="16" spans="1:7" ht="86.4" x14ac:dyDescent="0.3">
      <c r="A16" s="97" t="s">
        <v>1272</v>
      </c>
      <c r="B16" s="139" t="str">
        <f t="shared" si="0"/>
        <v>Das Ziehen von Rückschlüssen auf Emotionen (einschliesslich Absichten) von Personen am Arbeitsplatz oder in Bildungseinrichtungen, es sei denn, dies geschieht aus medizinischen oder sicherheitstechnischen Gründen</v>
      </c>
      <c r="C16" s="98" t="s">
        <v>382</v>
      </c>
      <c r="D16" s="140" t="s">
        <v>1251</v>
      </c>
      <c r="E16" s="140" t="s">
        <v>1100</v>
      </c>
      <c r="F16" s="140" t="s">
        <v>1100</v>
      </c>
      <c r="G16" s="100" t="s">
        <v>91</v>
      </c>
    </row>
    <row r="17" spans="1:7" ht="43.2" x14ac:dyDescent="0.3">
      <c r="A17" s="97" t="s">
        <v>1276</v>
      </c>
      <c r="B17" s="139" t="str">
        <f t="shared" si="0"/>
        <v>Eine weitere in Art. 5 AI Act aufgeführte Tätigkeit</v>
      </c>
      <c r="C17" s="98" t="s">
        <v>382</v>
      </c>
      <c r="D17" s="140" t="s">
        <v>1251</v>
      </c>
      <c r="E17" s="140" t="s">
        <v>1100</v>
      </c>
      <c r="F17" s="140" t="s">
        <v>1100</v>
      </c>
      <c r="G17" s="100" t="s">
        <v>91</v>
      </c>
    </row>
    <row r="18" spans="1:7" ht="57.6" x14ac:dyDescent="0.3">
      <c r="A18" s="97" t="s">
        <v>1101</v>
      </c>
      <c r="B18" s="139" t="str">
        <f t="shared" si="0"/>
        <v>Keine der Aktivitäten beschreibt, was wir tun</v>
      </c>
      <c r="C18" s="98" t="s">
        <v>382</v>
      </c>
      <c r="D18" s="140" t="s">
        <v>1252</v>
      </c>
      <c r="E18" s="140" t="s">
        <v>1100</v>
      </c>
      <c r="F18" s="140" t="s">
        <v>1100</v>
      </c>
      <c r="G18" s="100" t="s">
        <v>91</v>
      </c>
    </row>
    <row r="19" spans="1:7" hidden="1" x14ac:dyDescent="0.3">
      <c r="A19" s="97" t="s">
        <v>1050</v>
      </c>
      <c r="B19" s="139" t="str">
        <f t="shared" si="0"/>
        <v>(wählen)</v>
      </c>
      <c r="C19" s="98" t="s">
        <v>753</v>
      </c>
      <c r="D19" s="98"/>
      <c r="E19" s="140"/>
      <c r="F19" s="140"/>
      <c r="G19" s="100" t="s">
        <v>91</v>
      </c>
    </row>
    <row r="20" spans="1:7" ht="216" x14ac:dyDescent="0.3">
      <c r="A20" s="97" t="s">
        <v>1102</v>
      </c>
      <c r="B20" s="139" t="str">
        <f t="shared" si="0"/>
        <v xml:space="preserve">Das KI-System ist eine Sicherheitskomponente eines Produkts oder ein Produkt selbst, das nach geltendem EU-Recht (Anhang II) einer Konformitätsbewertung durch eine dritte Partei unterzogen werden muss, bevor es auf den Markt gebracht oder in Betrieb </v>
      </c>
      <c r="C20" s="98" t="s">
        <v>753</v>
      </c>
      <c r="D20" s="140" t="s">
        <v>1253</v>
      </c>
      <c r="E20" s="98" t="s">
        <v>1295</v>
      </c>
      <c r="F20" s="98" t="s">
        <v>1296</v>
      </c>
      <c r="G20" s="100" t="s">
        <v>91</v>
      </c>
    </row>
    <row r="21" spans="1:7" ht="216" x14ac:dyDescent="0.3">
      <c r="A21" s="98" t="s">
        <v>1281</v>
      </c>
      <c r="B21" s="139" t="str">
        <f t="shared" si="0"/>
        <v>BiometrischeFernidentifizierung mittels KI, die über die blosse Authentifizierung und biometrische Kategorisierung hinausgeht und sensible oder geschützte Merkmale verwendet oder daraus ableitet</v>
      </c>
      <c r="C21" s="98" t="s">
        <v>753</v>
      </c>
      <c r="D21" s="140" t="s">
        <v>1253</v>
      </c>
      <c r="E21" s="98" t="s">
        <v>1295</v>
      </c>
      <c r="F21" s="98" t="s">
        <v>1296</v>
      </c>
      <c r="G21" s="100" t="s">
        <v>91</v>
      </c>
    </row>
    <row r="22" spans="1:7" ht="216" x14ac:dyDescent="0.3">
      <c r="A22" s="98" t="s">
        <v>1282</v>
      </c>
      <c r="B22" s="139" t="str">
        <f t="shared" si="0"/>
        <v>Erkennung von Emotionen oder Absichten auf der Grundlage biometrischer Daten mittels KI</v>
      </c>
      <c r="C22" s="98" t="s">
        <v>753</v>
      </c>
      <c r="D22" s="140" t="s">
        <v>1253</v>
      </c>
      <c r="E22" s="98" t="s">
        <v>1295</v>
      </c>
      <c r="F22" s="98" t="s">
        <v>1296</v>
      </c>
      <c r="G22" s="100" t="s">
        <v>91</v>
      </c>
    </row>
    <row r="23" spans="1:7" ht="232.2" customHeight="1" x14ac:dyDescent="0.3">
      <c r="A23" s="98" t="s">
        <v>1283</v>
      </c>
      <c r="B23" s="139" t="str">
        <f t="shared" si="0"/>
        <v>KI soll als Sicherheitskomponente bei der Verwaltung und dem Betrieb kritischer Infrastrukturen, im Strassenverkehr oder bei der Versorgung mit Wasser, Gas usw. eingesetzt werden</v>
      </c>
      <c r="C23" s="98" t="s">
        <v>753</v>
      </c>
      <c r="D23" s="140" t="s">
        <v>1253</v>
      </c>
      <c r="E23" s="98" t="s">
        <v>1295</v>
      </c>
      <c r="F23" s="98" t="s">
        <v>1296</v>
      </c>
      <c r="G23" s="100" t="s">
        <v>91</v>
      </c>
    </row>
    <row r="24" spans="1:7" ht="235.2" customHeight="1" x14ac:dyDescent="0.3">
      <c r="A24" s="98" t="s">
        <v>1284</v>
      </c>
      <c r="B24" s="139" t="str">
        <f t="shared" si="0"/>
        <v xml:space="preserve">Einsatz in der allgemeinen und beruflichen Bildung, sofern (i) der Zugang, die Zulassung oder die Zuweisung zu Bildungsangeboten durch KI bestimmt werden soll, (ii) KI zur Bewertung der Lernergebnisse oder des Bildungsniveaus von Personen eingesetzt </v>
      </c>
      <c r="C24" s="98" t="s">
        <v>753</v>
      </c>
      <c r="D24" s="140" t="s">
        <v>1253</v>
      </c>
      <c r="E24" s="98" t="s">
        <v>1295</v>
      </c>
      <c r="F24" s="98" t="s">
        <v>1296</v>
      </c>
      <c r="G24" s="100" t="s">
        <v>91</v>
      </c>
    </row>
    <row r="25" spans="1:7" ht="241.2" customHeight="1" x14ac:dyDescent="0.3">
      <c r="A25" s="98" t="s">
        <v>1285</v>
      </c>
      <c r="B25" s="139" t="str">
        <f t="shared" si="0"/>
        <v>Einsatz im Bereich Beschäftigung und Arbeitnehmer, soweit (i) KI für die Einstellung oder Auswahl von Personen verwendet wird oder (ii) KI verwendet wird, um Entscheidungen zu treffen, die sich auf die Beschäftigungsbedingungen auswirken (z.B. Entsch</v>
      </c>
      <c r="C25" s="98" t="s">
        <v>753</v>
      </c>
      <c r="D25" s="140" t="s">
        <v>1253</v>
      </c>
      <c r="E25" s="98" t="s">
        <v>1295</v>
      </c>
      <c r="F25" s="98" t="s">
        <v>1296</v>
      </c>
      <c r="G25" s="100" t="s">
        <v>91</v>
      </c>
    </row>
    <row r="26" spans="1:7" ht="235.2" customHeight="1" x14ac:dyDescent="0.3">
      <c r="A26" s="98" t="s">
        <v>1286</v>
      </c>
      <c r="B26" s="139" t="str">
        <f t="shared" si="0"/>
        <v>KI wird verwendet, um (für oder als Behörde) zu beurteilen, ob einer bestimmten Person wesentliche öffentliche Unterstützungsleistungen und Dienste, einschliesslich der Gesundheitsversorgung, zur Verfügung stehen oder weiterhin zur Verfügung stehen w</v>
      </c>
      <c r="C26" s="98" t="s">
        <v>753</v>
      </c>
      <c r="D26" s="140" t="s">
        <v>1253</v>
      </c>
      <c r="E26" s="98" t="s">
        <v>1295</v>
      </c>
      <c r="F26" s="98" t="s">
        <v>1296</v>
      </c>
      <c r="G26" s="100" t="s">
        <v>91</v>
      </c>
    </row>
    <row r="27" spans="1:7" ht="233.4" customHeight="1" x14ac:dyDescent="0.3">
      <c r="A27" s="98" t="s">
        <v>1287</v>
      </c>
      <c r="B27" s="139" t="str">
        <f t="shared" si="0"/>
        <v>KI wird zur Bewertung der Kreditwürdigkeit einer Person oder Bestimmung ihres Bonitäts-Scores verwendet werden, ausser zur Aufdeckung von Finanzbetrug</v>
      </c>
      <c r="C27" s="98" t="s">
        <v>753</v>
      </c>
      <c r="D27" s="140" t="s">
        <v>1253</v>
      </c>
      <c r="E27" s="98" t="s">
        <v>1295</v>
      </c>
      <c r="F27" s="98" t="s">
        <v>1296</v>
      </c>
      <c r="G27" s="100" t="s">
        <v>91</v>
      </c>
    </row>
    <row r="28" spans="1:7" ht="232.2" customHeight="1" x14ac:dyDescent="0.3">
      <c r="A28" s="98" t="s">
        <v>1288</v>
      </c>
      <c r="B28" s="139" t="str">
        <f t="shared" si="0"/>
        <v>KI wird verwendet, um Notrufe von Personen zu bewerten und zu klassifizieren, oder um Notrufe oder Notfalldienste oder die medizinische Versorgung zuzuweisen oder zu triagieren</v>
      </c>
      <c r="C28" s="98" t="s">
        <v>753</v>
      </c>
      <c r="D28" s="140" t="s">
        <v>1253</v>
      </c>
      <c r="E28" s="98" t="s">
        <v>1295</v>
      </c>
      <c r="F28" s="98" t="s">
        <v>1296</v>
      </c>
      <c r="G28" s="100" t="s">
        <v>91</v>
      </c>
    </row>
    <row r="29" spans="1:7" ht="237.6" customHeight="1" x14ac:dyDescent="0.3">
      <c r="A29" s="98" t="s">
        <v>1289</v>
      </c>
      <c r="B29" s="139" t="str">
        <f t="shared" si="0"/>
        <v>KI wird für Risikobewertungen und die Preisgestaltung von Lebens- oder Krankenversicherungen verwendet</v>
      </c>
      <c r="C29" s="98" t="s">
        <v>753</v>
      </c>
      <c r="D29" s="140" t="s">
        <v>1253</v>
      </c>
      <c r="E29" s="98" t="s">
        <v>1295</v>
      </c>
      <c r="F29" s="98" t="s">
        <v>1296</v>
      </c>
      <c r="G29" s="100" t="s">
        <v>91</v>
      </c>
    </row>
    <row r="30" spans="1:7" ht="234" customHeight="1" x14ac:dyDescent="0.3">
      <c r="A30" s="98" t="s">
        <v>1381</v>
      </c>
      <c r="B30" s="139" t="str">
        <f t="shared" si="0"/>
        <v>Verwendung zu Strafverfolgungszwecken, wenn (i) KI zur Bewertung des Risikos einer Person, Opfer einer Straftat zu werden, verwendet werden soll, (ii) KI als Lügendetektor oder ähnliches Instrument verwendet werden soll oder (iii) KI zur Feststellung</v>
      </c>
      <c r="C30" s="98" t="s">
        <v>753</v>
      </c>
      <c r="D30" s="140" t="s">
        <v>1253</v>
      </c>
      <c r="E30" s="98" t="s">
        <v>1295</v>
      </c>
      <c r="F30" s="98" t="s">
        <v>1296</v>
      </c>
      <c r="G30" s="100" t="s">
        <v>91</v>
      </c>
    </row>
    <row r="31" spans="1:7" ht="234" customHeight="1" x14ac:dyDescent="0.3">
      <c r="A31" s="98" t="s">
        <v>1290</v>
      </c>
      <c r="B31" s="139" t="str">
        <f t="shared" si="0"/>
        <v>Verwendung zu Strafverfolgungszwecken, wenn (i) KI dazu dient, das Risiko einer Straftat oder einer erneuten Straftat einer Person nicht nur auf der Grundlage eines (automatisierten) Profils zu bewerten, (ii) KI dazu dient, Persönlichkeitsmerkmale, C</v>
      </c>
      <c r="C31" s="98" t="s">
        <v>753</v>
      </c>
      <c r="D31" s="140" t="s">
        <v>1253</v>
      </c>
      <c r="E31" s="98" t="s">
        <v>1295</v>
      </c>
      <c r="F31" s="98" t="s">
        <v>1296</v>
      </c>
      <c r="G31" s="100" t="s">
        <v>91</v>
      </c>
    </row>
    <row r="32" spans="1:7" ht="235.8" customHeight="1" x14ac:dyDescent="0.3">
      <c r="A32" s="98" t="s">
        <v>1291</v>
      </c>
      <c r="B32" s="139" t="str">
        <f t="shared" si="0"/>
        <v>Im Migrations-, Asyl- und Grenzkontrollwesen, soweit (i) KI als Lügendetektor oder ähnliches Werkzeug verwendet werden soll, (ii) KI zur Bewertung des Risikos von Personen, die in die EU einreisen, verwendet werden soll, (iii) KI zur Prüfung von Antr</v>
      </c>
      <c r="C32" s="98" t="s">
        <v>753</v>
      </c>
      <c r="D32" s="140" t="s">
        <v>1253</v>
      </c>
      <c r="E32" s="98" t="s">
        <v>1295</v>
      </c>
      <c r="F32" s="98" t="s">
        <v>1296</v>
      </c>
      <c r="G32" s="100" t="s">
        <v>91</v>
      </c>
    </row>
    <row r="33" spans="1:7" ht="233.4" customHeight="1" x14ac:dyDescent="0.3">
      <c r="A33" s="98" t="s">
        <v>1292</v>
      </c>
      <c r="B33" s="139" t="str">
        <f t="shared" si="0"/>
        <v>KI wird von einer Justizbehörde oder in deren Auftrag oder im Rahmen einer alternativen Streitbeilegung verwendet, um die Justizbehörde bei der Erforschung und Auslegung von Fakten und Gesetzen und deren Anwendung auf einen bestimmten Fall zu unterst</v>
      </c>
      <c r="C33" s="98" t="s">
        <v>753</v>
      </c>
      <c r="D33" s="140" t="s">
        <v>1253</v>
      </c>
      <c r="E33" s="98" t="s">
        <v>1295</v>
      </c>
      <c r="F33" s="98" t="s">
        <v>1296</v>
      </c>
      <c r="G33" s="100" t="s">
        <v>91</v>
      </c>
    </row>
    <row r="34" spans="1:7" ht="234.6" customHeight="1" x14ac:dyDescent="0.3">
      <c r="A34" s="98" t="s">
        <v>1293</v>
      </c>
      <c r="B34" s="139" t="str">
        <f t="shared" si="0"/>
        <v>KI wird zur Beeinflussung des Ergebnisses einer Wahl oder einer Abstimmung eingesetzt, jedoch nicht, wenn Personen dem Ergebnis der KI nicht unmittelbar ausgesetzt sind (z. B. KI-Systeme, die zur Organisation, Optimierung und Strukturierung der Verwa</v>
      </c>
      <c r="C34" s="98" t="s">
        <v>753</v>
      </c>
      <c r="D34" s="140" t="s">
        <v>1253</v>
      </c>
      <c r="E34" s="98" t="s">
        <v>1295</v>
      </c>
      <c r="F34" s="98" t="s">
        <v>1296</v>
      </c>
      <c r="G34" s="100" t="s">
        <v>91</v>
      </c>
    </row>
    <row r="35" spans="1:7" ht="43.2" x14ac:dyDescent="0.3">
      <c r="A35" s="97" t="s">
        <v>1101</v>
      </c>
      <c r="B35" s="139" t="str">
        <f t="shared" si="0"/>
        <v>Keine der Aktivitäten beschreibt, was wir tun</v>
      </c>
      <c r="C35" s="98" t="s">
        <v>753</v>
      </c>
      <c r="D35" s="140" t="s">
        <v>1254</v>
      </c>
      <c r="E35" s="140" t="s">
        <v>386</v>
      </c>
      <c r="F35" s="140" t="s">
        <v>386</v>
      </c>
      <c r="G35" s="100" t="s">
        <v>91</v>
      </c>
    </row>
    <row r="36" spans="1:7" ht="100.8" x14ac:dyDescent="0.3">
      <c r="A36" s="98" t="s">
        <v>1294</v>
      </c>
      <c r="B36" s="139" t="str">
        <f t="shared" si="0"/>
        <v xml:space="preserve">Das Hochrisiko-KI-System bringt trotz allem (i) kein hohes Risiko einer Schädigung mit sich (z.B. eng gefasste Verfahrensaufgabe, Verbesserung einer bereits abgeschlossenen menschlichen Aktivität oder Bewertung einer bereits getroffenen menschlichen </v>
      </c>
      <c r="C36" s="98" t="s">
        <v>1368</v>
      </c>
      <c r="D36" s="140" t="s">
        <v>1254</v>
      </c>
      <c r="E36" s="98" t="s">
        <v>1299</v>
      </c>
      <c r="F36" s="98" t="s">
        <v>1298</v>
      </c>
      <c r="G36" s="100" t="s">
        <v>91</v>
      </c>
    </row>
    <row r="37" spans="1:7" ht="72" x14ac:dyDescent="0.3">
      <c r="A37" s="98" t="s">
        <v>1573</v>
      </c>
      <c r="B37" s="139" t="str">
        <f t="shared" si="0"/>
        <v>Ein KI-System, das direkt mit natürlichen Personen interagiert, ausser jene Systeme, die gesetzlich autorisiert sind, um Straftaten zu erkennen, zu verhindern, zu untersuchen und zu verfolgen</v>
      </c>
      <c r="C37" s="98" t="s">
        <v>841</v>
      </c>
      <c r="D37" s="140" t="s">
        <v>1105</v>
      </c>
      <c r="E37" s="98"/>
      <c r="F37" s="98" t="s">
        <v>1106</v>
      </c>
      <c r="G37" s="100" t="s">
        <v>91</v>
      </c>
    </row>
    <row r="38" spans="1:7" ht="95.4" customHeight="1" x14ac:dyDescent="0.3">
      <c r="A38" s="98" t="s">
        <v>1103</v>
      </c>
      <c r="B38" s="139" t="str">
        <f t="shared" si="0"/>
        <v>Ein KI-System, das synthetische Audio-, Bild-, Video- oder Textinhalte generiert</v>
      </c>
      <c r="C38" s="98" t="s">
        <v>841</v>
      </c>
      <c r="D38" s="140" t="s">
        <v>1105</v>
      </c>
      <c r="E38" s="98"/>
      <c r="F38" s="98" t="s">
        <v>1570</v>
      </c>
      <c r="G38" s="100" t="s">
        <v>91</v>
      </c>
    </row>
    <row r="39" spans="1:7" ht="86.4" x14ac:dyDescent="0.3">
      <c r="A39" s="98" t="s">
        <v>1569</v>
      </c>
      <c r="B39" s="139" t="str">
        <f t="shared" si="0"/>
        <v>Ein KI-System, das Emotionen und Absichten erkennt oder ableitet oder biometrische Kategorisierung durchführt, ausser jene Systeme, die gesetzlich erlaubt sind, um kriminelle Handlungen zu erkennen, zu verhindern und zu untersuchen</v>
      </c>
      <c r="C39" s="98" t="s">
        <v>841</v>
      </c>
      <c r="D39" s="140" t="s">
        <v>1105</v>
      </c>
      <c r="E39" s="98" t="s">
        <v>1568</v>
      </c>
      <c r="F39" s="98"/>
      <c r="G39" s="100" t="s">
        <v>91</v>
      </c>
    </row>
    <row r="40" spans="1:7" ht="72" x14ac:dyDescent="0.3">
      <c r="A40" s="98" t="s">
        <v>1262</v>
      </c>
      <c r="B40" s="139" t="str">
        <f t="shared" si="0"/>
        <v>Ein KI-System, welches "Deepfakes" erzeugt</v>
      </c>
      <c r="C40" s="98" t="s">
        <v>841</v>
      </c>
      <c r="D40" s="140" t="s">
        <v>1105</v>
      </c>
      <c r="E40" s="98" t="s">
        <v>1571</v>
      </c>
      <c r="F40" s="98"/>
      <c r="G40" s="100" t="s">
        <v>91</v>
      </c>
    </row>
    <row r="41" spans="1:7" ht="86.4" x14ac:dyDescent="0.3">
      <c r="A41" s="98" t="s">
        <v>1104</v>
      </c>
      <c r="B41" s="139" t="str">
        <f t="shared" si="0"/>
        <v>KI-Generierung oder -Manipulation von Texten, die zum Zweck der Information der Öffentlichkeit veröffentlicht werden</v>
      </c>
      <c r="C41" s="98" t="s">
        <v>841</v>
      </c>
      <c r="D41" s="140" t="s">
        <v>1105</v>
      </c>
      <c r="E41" s="98" t="s">
        <v>1297</v>
      </c>
      <c r="F41" s="98"/>
      <c r="G41" s="100" t="s">
        <v>91</v>
      </c>
    </row>
    <row r="42" spans="1:7" ht="115.2" x14ac:dyDescent="0.3">
      <c r="A42" s="98" t="s">
        <v>1260</v>
      </c>
      <c r="B42" s="139" t="str">
        <f t="shared" si="0"/>
        <v>Ein für viele verschiedene Anwendungen einsetzbares generisches KI-Modell</v>
      </c>
      <c r="C42" s="98" t="s">
        <v>843</v>
      </c>
      <c r="D42" s="140" t="s">
        <v>1256</v>
      </c>
      <c r="E42" s="98"/>
      <c r="F42" s="98" t="s">
        <v>1249</v>
      </c>
      <c r="G42" s="100" t="s">
        <v>91</v>
      </c>
    </row>
    <row r="43" spans="1:7" ht="158.4" x14ac:dyDescent="0.3">
      <c r="A43" s="98" t="s">
        <v>1261</v>
      </c>
      <c r="B43" s="139" t="str">
        <f t="shared" si="0"/>
        <v>Ein Allzweck KI-Modell mit einem "systemischen Risiko", weil es (i) hohe Auswirkungsfähigkeiten hat (einschliesslich Fällen, in denen sein Training 10^25 FLOPS oder mehr umfasste) oder (ii) es zum Allzweck KI-Modell mit systemischen Risiken erklärt w</v>
      </c>
      <c r="C43" s="98" t="s">
        <v>842</v>
      </c>
      <c r="D43" s="140" t="s">
        <v>1255</v>
      </c>
      <c r="E43" s="98"/>
      <c r="F43" s="98" t="s">
        <v>1250</v>
      </c>
      <c r="G43" s="100"/>
    </row>
    <row r="44" spans="1:7" ht="28.8" x14ac:dyDescent="0.3">
      <c r="A44" s="98" t="s">
        <v>1259</v>
      </c>
      <c r="B44" s="139" t="str">
        <f t="shared" si="0"/>
        <v>Jeder, der ein KI-System oder ein Allzweck KI-Modell verwendet</v>
      </c>
      <c r="C44" s="98" t="s">
        <v>932</v>
      </c>
      <c r="D44" s="98"/>
      <c r="E44" s="98" t="s">
        <v>1257</v>
      </c>
      <c r="F44" s="98" t="s">
        <v>1258</v>
      </c>
      <c r="G44" s="100" t="s">
        <v>91</v>
      </c>
    </row>
    <row r="45" spans="1:7" s="56" customFormat="1" x14ac:dyDescent="0.3">
      <c r="A45" s="100" t="s">
        <v>91</v>
      </c>
      <c r="B45" s="100" t="s">
        <v>91</v>
      </c>
      <c r="E45" s="101" t="s">
        <v>91</v>
      </c>
      <c r="F45" s="101" t="s">
        <v>91</v>
      </c>
    </row>
    <row r="46" spans="1:7" s="56" customFormat="1" x14ac:dyDescent="0.3">
      <c r="A46" s="100">
        <f>ROW($A$46)</f>
        <v>46</v>
      </c>
      <c r="B46" s="100">
        <f>ROW($A$46)</f>
        <v>46</v>
      </c>
      <c r="E46" s="101">
        <v>3</v>
      </c>
      <c r="F46" s="101">
        <v>4</v>
      </c>
      <c r="G46" s="56">
        <v>5</v>
      </c>
    </row>
    <row r="47" spans="1:7" ht="67.95" customHeight="1" x14ac:dyDescent="0.3">
      <c r="A47" s="1" t="s">
        <v>1108</v>
      </c>
      <c r="B47" s="1"/>
      <c r="C47" s="265" t="s">
        <v>1107</v>
      </c>
      <c r="D47" s="265"/>
      <c r="E47" s="265"/>
      <c r="F47" s="136"/>
    </row>
    <row r="48" spans="1:7" x14ac:dyDescent="0.3">
      <c r="A48" s="2"/>
      <c r="B48" s="2"/>
    </row>
    <row r="50" spans="1:8" ht="25.2" customHeight="1" x14ac:dyDescent="0.3">
      <c r="A50" s="263" t="s">
        <v>1049</v>
      </c>
      <c r="B50" s="263"/>
      <c r="C50" s="263"/>
      <c r="D50" s="263"/>
      <c r="E50" s="263"/>
      <c r="F50" s="263"/>
      <c r="G50" s="92"/>
      <c r="H50" s="92"/>
    </row>
    <row r="51" spans="1:8" ht="49.2" customHeight="1" x14ac:dyDescent="0.3">
      <c r="A51" s="264" t="s">
        <v>1307</v>
      </c>
      <c r="B51" s="264"/>
      <c r="C51" s="264"/>
      <c r="D51" s="264"/>
      <c r="E51" s="264"/>
      <c r="F51" s="264"/>
      <c r="G51" s="92"/>
      <c r="H51" s="92"/>
    </row>
    <row r="52" spans="1:8" ht="15.6" customHeight="1" x14ac:dyDescent="0.3"/>
  </sheetData>
  <mergeCells count="4">
    <mergeCell ref="A3:F3"/>
    <mergeCell ref="C47:E47"/>
    <mergeCell ref="A50:F50"/>
    <mergeCell ref="A51:F51"/>
  </mergeCells>
  <hyperlinks>
    <hyperlink ref="C47:E47" r:id="rId1" display="Legislative Entschliessung des Europäischen Parlaments vom 13. März 2024 zu dem Vorschlag für eine Verordnung des Europäischen Parlaments und des Rates zur Festlegung harmonisierter Regeln für Künstliche Intelligenz (Gesetz über Künstliche Intelligenz) und zur Änderung bestimmter Rechtsakte der Union (COM(2021)0206 – C9-0146/2021 – 2021/0106(COD))" xr:uid="{684C24BD-C4ED-4DF4-9DE5-75926AECE444}"/>
  </hyperlinks>
  <pageMargins left="0.7" right="0.7" top="0.78740157499999996" bottom="0.78740157499999996" header="0.3" footer="0.3"/>
  <pageSetup paperSize="9" scale="47"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F3F3F3"/>
  </sheetPr>
  <dimension ref="A1:B18"/>
  <sheetViews>
    <sheetView showGridLines="0" workbookViewId="0">
      <selection activeCell="A12" sqref="A12"/>
    </sheetView>
  </sheetViews>
  <sheetFormatPr baseColWidth="10" defaultColWidth="11.44140625" defaultRowHeight="14.4" x14ac:dyDescent="0.3"/>
  <cols>
    <col min="1" max="1" width="9.88671875" customWidth="1"/>
    <col min="2" max="2" width="83.44140625" customWidth="1"/>
  </cols>
  <sheetData>
    <row r="1" spans="1:2" ht="21" x14ac:dyDescent="0.4">
      <c r="A1" s="266" t="s">
        <v>662</v>
      </c>
      <c r="B1" s="266"/>
    </row>
    <row r="3" spans="1:2" x14ac:dyDescent="0.3">
      <c r="A3" s="21" t="s">
        <v>663</v>
      </c>
      <c r="B3" s="111" t="s">
        <v>664</v>
      </c>
    </row>
    <row r="4" spans="1:2" x14ac:dyDescent="0.3">
      <c r="A4" s="65" t="s">
        <v>665</v>
      </c>
      <c r="B4" s="66" t="s">
        <v>666</v>
      </c>
    </row>
    <row r="5" spans="1:2" x14ac:dyDescent="0.3">
      <c r="A5" s="65" t="s">
        <v>737</v>
      </c>
      <c r="B5" s="66" t="s">
        <v>738</v>
      </c>
    </row>
    <row r="6" spans="1:2" x14ac:dyDescent="0.3">
      <c r="A6" s="65" t="s">
        <v>746</v>
      </c>
      <c r="B6" s="66" t="s">
        <v>745</v>
      </c>
    </row>
    <row r="7" spans="1:2" x14ac:dyDescent="0.3">
      <c r="A7" s="65" t="s">
        <v>782</v>
      </c>
      <c r="B7" s="66" t="s">
        <v>745</v>
      </c>
    </row>
    <row r="8" spans="1:2" ht="27.6" x14ac:dyDescent="0.3">
      <c r="A8" s="65" t="s">
        <v>783</v>
      </c>
      <c r="B8" s="66" t="s">
        <v>784</v>
      </c>
    </row>
    <row r="9" spans="1:2" x14ac:dyDescent="0.3">
      <c r="A9" s="65" t="s">
        <v>808</v>
      </c>
      <c r="B9" s="66" t="s">
        <v>809</v>
      </c>
    </row>
    <row r="10" spans="1:2" x14ac:dyDescent="0.3">
      <c r="A10" s="65" t="s">
        <v>811</v>
      </c>
      <c r="B10" s="66" t="s">
        <v>809</v>
      </c>
    </row>
    <row r="11" spans="1:2" ht="69" x14ac:dyDescent="0.3">
      <c r="A11" s="65" t="s">
        <v>1310</v>
      </c>
      <c r="B11" s="66" t="s">
        <v>1567</v>
      </c>
    </row>
    <row r="12" spans="1:2" x14ac:dyDescent="0.3">
      <c r="A12" s="65" t="s">
        <v>1577</v>
      </c>
      <c r="B12" s="66" t="s">
        <v>1582</v>
      </c>
    </row>
    <row r="13" spans="1:2" x14ac:dyDescent="0.3">
      <c r="A13" s="65"/>
      <c r="B13" s="66"/>
    </row>
    <row r="14" spans="1:2" x14ac:dyDescent="0.3">
      <c r="A14" s="65"/>
      <c r="B14" s="66"/>
    </row>
    <row r="15" spans="1:2" x14ac:dyDescent="0.3">
      <c r="A15" s="65"/>
      <c r="B15" s="66"/>
    </row>
    <row r="16" spans="1:2" x14ac:dyDescent="0.3">
      <c r="A16" s="65"/>
      <c r="B16" s="66"/>
    </row>
    <row r="18" spans="1:1" x14ac:dyDescent="0.3">
      <c r="A18" t="s">
        <v>785</v>
      </c>
    </row>
  </sheetData>
  <mergeCells count="1">
    <mergeCell ref="A1:B1"/>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2E5E58"/>
    <pageSetUpPr fitToPage="1"/>
  </sheetPr>
  <dimension ref="A1:M251"/>
  <sheetViews>
    <sheetView showGridLines="0" workbookViewId="0">
      <selection activeCell="D6" sqref="D6:F6"/>
    </sheetView>
  </sheetViews>
  <sheetFormatPr baseColWidth="10" defaultColWidth="11.44140625" defaultRowHeight="14.4" x14ac:dyDescent="0.3"/>
  <cols>
    <col min="1" max="1" width="8.6640625" customWidth="1"/>
    <col min="2" max="2" width="10.109375" customWidth="1"/>
    <col min="3" max="3" width="33.33203125" customWidth="1"/>
    <col min="4" max="4" width="41.88671875" customWidth="1"/>
    <col min="5" max="5" width="12.88671875" customWidth="1"/>
    <col min="6" max="6" width="33.33203125" customWidth="1"/>
    <col min="7" max="7" width="10" customWidth="1"/>
    <col min="8" max="8" width="13.33203125" customWidth="1"/>
    <col min="9" max="9" width="13.109375" customWidth="1"/>
    <col min="10" max="10" width="11.33203125" customWidth="1"/>
    <col min="11" max="11" width="6.109375" customWidth="1"/>
    <col min="12" max="12" width="5" customWidth="1"/>
    <col min="13" max="13" width="8.33203125" customWidth="1"/>
    <col min="14" max="14" width="9.6640625" customWidth="1"/>
    <col min="15" max="15" width="35" customWidth="1"/>
    <col min="16" max="17" width="9.6640625" customWidth="1"/>
    <col min="18" max="18" width="6" customWidth="1"/>
    <col min="19" max="19" width="23.33203125" customWidth="1"/>
    <col min="20" max="20" width="13" customWidth="1"/>
    <col min="35" max="38" width="2.6640625" customWidth="1"/>
    <col min="39" max="62" width="3.6640625" customWidth="1"/>
  </cols>
  <sheetData>
    <row r="1" spans="1:13" ht="23.4" x14ac:dyDescent="0.45">
      <c r="A1" s="194" t="s">
        <v>739</v>
      </c>
      <c r="B1" s="194"/>
      <c r="C1" s="194"/>
      <c r="D1" s="194"/>
    </row>
    <row r="2" spans="1:13" x14ac:dyDescent="0.3">
      <c r="A2" s="195" t="s">
        <v>1576</v>
      </c>
      <c r="B2" s="195"/>
      <c r="C2" s="195"/>
      <c r="D2" s="195"/>
      <c r="E2" s="195"/>
    </row>
    <row r="3" spans="1:13" x14ac:dyDescent="0.3">
      <c r="A3" s="63"/>
      <c r="B3" s="63"/>
      <c r="C3" s="63"/>
      <c r="D3" s="63"/>
      <c r="E3" s="63"/>
    </row>
    <row r="4" spans="1:13" ht="63" customHeight="1" x14ac:dyDescent="0.3">
      <c r="A4" s="196" t="s">
        <v>1059</v>
      </c>
      <c r="B4" s="196"/>
      <c r="C4" s="196"/>
      <c r="D4" s="196"/>
      <c r="E4" s="196"/>
      <c r="F4" s="196"/>
    </row>
    <row r="5" spans="1:13" x14ac:dyDescent="0.3">
      <c r="A5" s="63"/>
      <c r="B5" s="63"/>
      <c r="C5" s="63"/>
      <c r="D5" s="63"/>
      <c r="E5" s="63"/>
      <c r="M5" s="122"/>
    </row>
    <row r="6" spans="1:13" ht="14.7" customHeight="1" x14ac:dyDescent="0.3">
      <c r="A6" s="1" t="s">
        <v>1</v>
      </c>
      <c r="B6" s="2"/>
      <c r="C6" s="2"/>
      <c r="D6" s="197" t="s">
        <v>77</v>
      </c>
      <c r="E6" s="198"/>
      <c r="F6" s="198"/>
      <c r="G6" s="2"/>
      <c r="H6" s="2"/>
      <c r="M6" s="122"/>
    </row>
    <row r="7" spans="1:13" x14ac:dyDescent="0.3">
      <c r="A7" s="2" t="s">
        <v>2</v>
      </c>
      <c r="B7" s="2"/>
      <c r="C7" s="2"/>
      <c r="D7" s="199" t="s">
        <v>49</v>
      </c>
      <c r="E7" s="200"/>
      <c r="F7" s="200"/>
      <c r="G7" s="2"/>
      <c r="H7" s="2"/>
      <c r="M7" s="122"/>
    </row>
    <row r="8" spans="1:13" x14ac:dyDescent="0.3">
      <c r="A8" s="2" t="s">
        <v>182</v>
      </c>
      <c r="B8" s="2"/>
      <c r="C8" s="2"/>
      <c r="D8" s="199" t="s">
        <v>78</v>
      </c>
      <c r="E8" s="200"/>
      <c r="F8" s="200"/>
      <c r="G8" s="2"/>
      <c r="H8" s="2"/>
      <c r="M8" s="122"/>
    </row>
    <row r="9" spans="1:13" x14ac:dyDescent="0.3">
      <c r="A9" s="2" t="s">
        <v>128</v>
      </c>
      <c r="B9" s="2"/>
      <c r="C9" s="2"/>
      <c r="D9" s="62" t="s">
        <v>17</v>
      </c>
      <c r="E9" s="2"/>
      <c r="F9" s="110">
        <v>45383</v>
      </c>
      <c r="G9" s="2"/>
      <c r="H9" s="2"/>
      <c r="M9" s="122"/>
    </row>
    <row r="10" spans="1:13" x14ac:dyDescent="0.3">
      <c r="A10" s="2"/>
      <c r="B10" s="2"/>
      <c r="C10" s="2"/>
      <c r="D10" s="2"/>
      <c r="E10" s="2"/>
      <c r="F10" s="2"/>
      <c r="G10" s="2"/>
      <c r="H10" s="2"/>
      <c r="M10" s="122"/>
    </row>
    <row r="11" spans="1:13" ht="18" x14ac:dyDescent="0.3">
      <c r="A11" s="1" t="s">
        <v>183</v>
      </c>
      <c r="B11" s="2"/>
      <c r="C11" s="2"/>
      <c r="D11" s="203" t="s">
        <v>444</v>
      </c>
      <c r="E11" s="204"/>
      <c r="F11" s="204"/>
      <c r="G11" s="2"/>
      <c r="H11" s="2"/>
      <c r="M11" s="122"/>
    </row>
    <row r="12" spans="1:13" x14ac:dyDescent="0.3">
      <c r="A12" s="2"/>
      <c r="B12" s="2"/>
      <c r="C12" s="2"/>
      <c r="D12" s="2"/>
      <c r="E12" s="2"/>
      <c r="F12" s="2"/>
      <c r="G12" s="2"/>
      <c r="H12" s="2"/>
      <c r="M12" s="122"/>
    </row>
    <row r="13" spans="1:13" ht="14.4" customHeight="1" x14ac:dyDescent="0.3">
      <c r="A13" s="201" t="s">
        <v>328</v>
      </c>
      <c r="B13" s="201"/>
      <c r="C13" s="202"/>
      <c r="D13" s="189" t="s">
        <v>445</v>
      </c>
      <c r="E13" s="190"/>
      <c r="F13" s="190"/>
      <c r="G13" s="2"/>
      <c r="H13" s="2"/>
      <c r="M13" s="122"/>
    </row>
    <row r="14" spans="1:13" ht="16.95" customHeight="1" x14ac:dyDescent="0.3">
      <c r="A14" s="201" t="s">
        <v>329</v>
      </c>
      <c r="B14" s="201"/>
      <c r="C14" s="202"/>
      <c r="D14" s="189" t="s">
        <v>446</v>
      </c>
      <c r="E14" s="190"/>
      <c r="F14" s="190"/>
      <c r="G14" s="2"/>
      <c r="H14" s="2"/>
      <c r="M14" s="122"/>
    </row>
    <row r="15" spans="1:13" ht="14.4" customHeight="1" x14ac:dyDescent="0.3">
      <c r="A15" s="86"/>
      <c r="B15" s="87"/>
      <c r="D15" s="84"/>
      <c r="E15" s="84"/>
      <c r="F15" s="84"/>
      <c r="G15" s="2"/>
      <c r="H15" s="2"/>
    </row>
    <row r="16" spans="1:13" ht="15.6" x14ac:dyDescent="0.3">
      <c r="A16" s="3" t="s">
        <v>186</v>
      </c>
      <c r="B16" s="4" t="s">
        <v>716</v>
      </c>
      <c r="C16" s="4"/>
      <c r="D16" s="2"/>
      <c r="E16" s="2"/>
      <c r="F16" s="2"/>
      <c r="G16" s="2"/>
      <c r="H16" s="5"/>
    </row>
    <row r="17" spans="1:13" x14ac:dyDescent="0.3">
      <c r="A17" s="2"/>
      <c r="B17" s="2"/>
      <c r="C17" s="2"/>
      <c r="D17" s="2"/>
      <c r="E17" s="2"/>
      <c r="F17" s="2"/>
      <c r="G17" s="2"/>
      <c r="H17" s="2"/>
    </row>
    <row r="18" spans="1:13" ht="30.6" customHeight="1" x14ac:dyDescent="0.3">
      <c r="B18" s="205" t="s">
        <v>874</v>
      </c>
      <c r="C18" s="205"/>
      <c r="D18" s="205"/>
      <c r="E18" s="205"/>
      <c r="F18" s="205"/>
      <c r="G18" s="205"/>
      <c r="H18" s="205"/>
      <c r="I18" s="109"/>
    </row>
    <row r="19" spans="1:13" x14ac:dyDescent="0.3">
      <c r="A19" s="2"/>
      <c r="B19" s="2"/>
      <c r="C19" s="2"/>
      <c r="D19" s="2"/>
      <c r="E19" s="2"/>
      <c r="F19" s="2"/>
      <c r="G19" s="2"/>
      <c r="H19" s="2"/>
    </row>
    <row r="20" spans="1:13" ht="15.6" customHeight="1" x14ac:dyDescent="0.3">
      <c r="A20" s="6" t="s">
        <v>0</v>
      </c>
      <c r="B20" s="192" t="s">
        <v>184</v>
      </c>
      <c r="C20" s="193"/>
      <c r="D20" s="189" t="s">
        <v>453</v>
      </c>
      <c r="E20" s="190"/>
      <c r="F20" s="190"/>
      <c r="G20" s="190"/>
      <c r="H20" s="191"/>
      <c r="M20" s="122"/>
    </row>
    <row r="21" spans="1:13" ht="101.4" customHeight="1" x14ac:dyDescent="0.3">
      <c r="A21" s="6" t="s">
        <v>21</v>
      </c>
      <c r="B21" s="192" t="s">
        <v>3</v>
      </c>
      <c r="C21" s="193"/>
      <c r="D21" s="189" t="s">
        <v>458</v>
      </c>
      <c r="E21" s="190"/>
      <c r="F21" s="190"/>
      <c r="G21" s="190"/>
      <c r="H21" s="191"/>
      <c r="M21" s="122"/>
    </row>
    <row r="22" spans="1:13" ht="30.6" customHeight="1" x14ac:dyDescent="0.3">
      <c r="A22" s="6" t="s">
        <v>22</v>
      </c>
      <c r="B22" s="192" t="s">
        <v>4</v>
      </c>
      <c r="C22" s="193"/>
      <c r="D22" s="189" t="s">
        <v>447</v>
      </c>
      <c r="E22" s="190"/>
      <c r="F22" s="190"/>
      <c r="G22" s="190"/>
      <c r="H22" s="191"/>
      <c r="M22" s="122"/>
    </row>
    <row r="23" spans="1:13" x14ac:dyDescent="0.3">
      <c r="A23" s="6" t="s">
        <v>23</v>
      </c>
      <c r="B23" s="192" t="s">
        <v>777</v>
      </c>
      <c r="C23" s="193"/>
      <c r="D23" s="189" t="s">
        <v>448</v>
      </c>
      <c r="E23" s="190"/>
      <c r="F23" s="190"/>
      <c r="G23" s="190"/>
      <c r="H23" s="191"/>
      <c r="M23" s="122"/>
    </row>
    <row r="24" spans="1:13" ht="28.2" customHeight="1" x14ac:dyDescent="0.3">
      <c r="A24" s="6" t="s">
        <v>24</v>
      </c>
      <c r="B24" s="192" t="s">
        <v>5</v>
      </c>
      <c r="C24" s="193"/>
      <c r="D24" s="189" t="s">
        <v>449</v>
      </c>
      <c r="E24" s="190"/>
      <c r="F24" s="190"/>
      <c r="G24" s="190"/>
      <c r="H24" s="191"/>
      <c r="M24" s="122"/>
    </row>
    <row r="25" spans="1:13" ht="29.4" customHeight="1" x14ac:dyDescent="0.3">
      <c r="A25" s="6" t="s">
        <v>25</v>
      </c>
      <c r="B25" s="192" t="s">
        <v>6</v>
      </c>
      <c r="C25" s="193"/>
      <c r="D25" s="189" t="s">
        <v>450</v>
      </c>
      <c r="E25" s="190"/>
      <c r="F25" s="190"/>
      <c r="G25" s="190"/>
      <c r="H25" s="191"/>
      <c r="M25" s="122"/>
    </row>
    <row r="26" spans="1:13" ht="14.4" customHeight="1" x14ac:dyDescent="0.3">
      <c r="A26" s="6" t="s">
        <v>26</v>
      </c>
      <c r="B26" s="192" t="s">
        <v>7</v>
      </c>
      <c r="C26" s="193"/>
      <c r="D26" s="189" t="s">
        <v>451</v>
      </c>
      <c r="E26" s="190"/>
      <c r="F26" s="190"/>
      <c r="G26" s="190"/>
      <c r="H26" s="191"/>
      <c r="M26" s="122"/>
    </row>
    <row r="27" spans="1:13" ht="14.4" customHeight="1" x14ac:dyDescent="0.3">
      <c r="A27" s="6" t="s">
        <v>27</v>
      </c>
      <c r="B27" s="192" t="s">
        <v>758</v>
      </c>
      <c r="C27" s="193"/>
      <c r="D27" s="189" t="s">
        <v>789</v>
      </c>
      <c r="E27" s="190"/>
      <c r="F27" s="190"/>
      <c r="G27" s="190"/>
      <c r="H27" s="191"/>
      <c r="M27" s="122"/>
    </row>
    <row r="28" spans="1:13" ht="16.2" customHeight="1" x14ac:dyDescent="0.3">
      <c r="A28" s="6" t="s">
        <v>28</v>
      </c>
      <c r="B28" s="192" t="s">
        <v>781</v>
      </c>
      <c r="C28" s="193"/>
      <c r="D28" s="189" t="s">
        <v>452</v>
      </c>
      <c r="E28" s="190"/>
      <c r="F28" s="190"/>
      <c r="G28" s="190"/>
      <c r="H28" s="191"/>
      <c r="M28" s="122"/>
    </row>
    <row r="29" spans="1:13" x14ac:dyDescent="0.3">
      <c r="A29" s="6" t="s">
        <v>29</v>
      </c>
      <c r="B29" s="192" t="s">
        <v>324</v>
      </c>
      <c r="C29" s="193"/>
      <c r="D29" s="189" t="s">
        <v>734</v>
      </c>
      <c r="E29" s="190"/>
      <c r="F29" s="190"/>
      <c r="G29" s="190"/>
      <c r="H29" s="191"/>
      <c r="M29" s="122"/>
    </row>
    <row r="30" spans="1:13" x14ac:dyDescent="0.3">
      <c r="A30" s="6" t="s">
        <v>62</v>
      </c>
      <c r="B30" s="192" t="s">
        <v>323</v>
      </c>
      <c r="C30" s="193"/>
      <c r="D30" s="189" t="s">
        <v>454</v>
      </c>
      <c r="E30" s="190"/>
      <c r="F30" s="190"/>
      <c r="G30" s="190"/>
      <c r="H30" s="191"/>
      <c r="M30" s="122"/>
    </row>
    <row r="31" spans="1:13" x14ac:dyDescent="0.3">
      <c r="A31" s="6" t="s">
        <v>106</v>
      </c>
      <c r="B31" s="192" t="s">
        <v>761</v>
      </c>
      <c r="C31" s="193"/>
      <c r="D31" s="189" t="s">
        <v>757</v>
      </c>
      <c r="E31" s="190"/>
      <c r="F31" s="190"/>
      <c r="G31" s="190"/>
      <c r="H31" s="191"/>
      <c r="M31" s="122"/>
    </row>
    <row r="32" spans="1:13" x14ac:dyDescent="0.3">
      <c r="A32" s="6" t="s">
        <v>107</v>
      </c>
      <c r="B32" s="192" t="s">
        <v>760</v>
      </c>
      <c r="C32" s="193"/>
      <c r="D32" s="189" t="s">
        <v>771</v>
      </c>
      <c r="E32" s="190"/>
      <c r="F32" s="190"/>
      <c r="G32" s="190"/>
      <c r="H32" s="191"/>
      <c r="M32" s="122"/>
    </row>
    <row r="33" spans="1:13" x14ac:dyDescent="0.3">
      <c r="A33" s="6" t="s">
        <v>367</v>
      </c>
      <c r="B33" s="192" t="s">
        <v>767</v>
      </c>
      <c r="C33" s="193"/>
      <c r="D33" s="189" t="s">
        <v>770</v>
      </c>
      <c r="E33" s="190"/>
      <c r="F33" s="190"/>
      <c r="G33" s="190"/>
      <c r="H33" s="191"/>
      <c r="M33" s="122"/>
    </row>
    <row r="34" spans="1:13" x14ac:dyDescent="0.3">
      <c r="A34" s="6" t="s">
        <v>383</v>
      </c>
      <c r="B34" s="192" t="s">
        <v>780</v>
      </c>
      <c r="C34" s="193"/>
      <c r="D34" s="189" t="s">
        <v>769</v>
      </c>
      <c r="E34" s="190"/>
      <c r="F34" s="190"/>
      <c r="G34" s="190"/>
      <c r="H34" s="191"/>
      <c r="M34" s="122"/>
    </row>
    <row r="35" spans="1:13" x14ac:dyDescent="0.3">
      <c r="A35" s="6" t="s">
        <v>762</v>
      </c>
      <c r="B35" s="192" t="s">
        <v>779</v>
      </c>
      <c r="C35" s="193"/>
      <c r="D35" s="189" t="s">
        <v>768</v>
      </c>
      <c r="E35" s="190"/>
      <c r="F35" s="190"/>
      <c r="G35" s="190"/>
      <c r="H35" s="191"/>
      <c r="M35" s="122"/>
    </row>
    <row r="36" spans="1:13" ht="74.400000000000006" customHeight="1" x14ac:dyDescent="0.3">
      <c r="A36" s="6" t="s">
        <v>763</v>
      </c>
      <c r="B36" s="192" t="s">
        <v>778</v>
      </c>
      <c r="C36" s="193"/>
      <c r="D36" s="189" t="s">
        <v>772</v>
      </c>
      <c r="E36" s="190"/>
      <c r="F36" s="190"/>
      <c r="G36" s="190"/>
      <c r="H36" s="191"/>
      <c r="M36" s="122"/>
    </row>
    <row r="37" spans="1:13" x14ac:dyDescent="0.3">
      <c r="A37" s="6" t="s">
        <v>764</v>
      </c>
      <c r="B37" s="192" t="s">
        <v>8</v>
      </c>
      <c r="C37" s="193"/>
      <c r="D37" s="189" t="s">
        <v>455</v>
      </c>
      <c r="E37" s="190"/>
      <c r="F37" s="190"/>
      <c r="G37" s="190"/>
      <c r="H37" s="191"/>
      <c r="M37" s="122"/>
    </row>
    <row r="38" spans="1:13" x14ac:dyDescent="0.3">
      <c r="A38" s="6" t="s">
        <v>765</v>
      </c>
      <c r="B38" s="192" t="s">
        <v>9</v>
      </c>
      <c r="C38" s="193"/>
      <c r="D38" s="209"/>
      <c r="E38" s="210"/>
      <c r="F38" s="210"/>
      <c r="G38" s="210"/>
      <c r="H38" s="211"/>
      <c r="M38" s="122"/>
    </row>
    <row r="39" spans="1:13" x14ac:dyDescent="0.3">
      <c r="M39" s="122"/>
    </row>
    <row r="40" spans="1:13" x14ac:dyDescent="0.3">
      <c r="A40" s="6" t="s">
        <v>766</v>
      </c>
      <c r="B40" s="195" t="s">
        <v>30</v>
      </c>
      <c r="C40" s="207"/>
      <c r="D40" s="189" t="s">
        <v>457</v>
      </c>
      <c r="E40" s="190"/>
      <c r="F40" s="190"/>
      <c r="G40" s="190"/>
      <c r="H40" s="191"/>
      <c r="M40" s="122"/>
    </row>
    <row r="42" spans="1:13" ht="15.6" x14ac:dyDescent="0.3">
      <c r="A42" s="3" t="s">
        <v>188</v>
      </c>
      <c r="B42" s="206" t="s">
        <v>870</v>
      </c>
      <c r="C42" s="206"/>
      <c r="D42" s="206"/>
    </row>
    <row r="43" spans="1:13" x14ac:dyDescent="0.3">
      <c r="M43" s="122"/>
    </row>
    <row r="44" spans="1:13" ht="37.799999999999997" customHeight="1" x14ac:dyDescent="0.3">
      <c r="B44" s="205" t="s">
        <v>875</v>
      </c>
      <c r="C44" s="205"/>
      <c r="D44" s="205"/>
      <c r="E44" s="205"/>
      <c r="F44" s="205"/>
      <c r="G44" s="205"/>
      <c r="H44" s="205"/>
      <c r="M44" s="122"/>
    </row>
    <row r="45" spans="1:13" x14ac:dyDescent="0.3">
      <c r="M45" s="122"/>
    </row>
    <row r="46" spans="1:13" x14ac:dyDescent="0.3">
      <c r="B46" s="20" t="s">
        <v>858</v>
      </c>
      <c r="M46" s="122"/>
    </row>
    <row r="47" spans="1:13" x14ac:dyDescent="0.3">
      <c r="M47" s="122"/>
    </row>
    <row r="48" spans="1:13" ht="32.4" customHeight="1" x14ac:dyDescent="0.3">
      <c r="A48" s="12" t="s">
        <v>108</v>
      </c>
      <c r="B48" s="192" t="s">
        <v>846</v>
      </c>
      <c r="C48" s="192"/>
      <c r="D48" s="193"/>
      <c r="E48" s="144" t="s">
        <v>31</v>
      </c>
      <c r="G48" s="223" t="str">
        <f>IF($E48="Yes","= likely an AI system as per AI Act",IF($E48="No","= likely no AI system as per AI Act",""))</f>
        <v/>
      </c>
      <c r="H48" s="223"/>
      <c r="I48" s="79">
        <f>IF(LEFT($G48,10)="= likely a",1,0)</f>
        <v>0</v>
      </c>
      <c r="M48" s="122"/>
    </row>
    <row r="49" spans="1:13" ht="115.2" customHeight="1" x14ac:dyDescent="0.3">
      <c r="A49" s="12">
        <v>2.02</v>
      </c>
      <c r="B49" s="192" t="s">
        <v>1279</v>
      </c>
      <c r="C49" s="192"/>
      <c r="D49" s="193"/>
      <c r="E49" s="189" t="s">
        <v>31</v>
      </c>
      <c r="F49" s="191"/>
      <c r="G49" s="222" t="str">
        <f>IFERROR(VLOOKUP(LEFT($E49,250),'AI Act E'!$B$9:$D$18,3,FALSE),"")</f>
        <v/>
      </c>
      <c r="H49" s="222"/>
      <c r="I49" s="79">
        <f>IF(LEFT($G49,10)="= likely p",1,0)</f>
        <v>0</v>
      </c>
      <c r="M49" s="122"/>
    </row>
    <row r="50" spans="1:13" ht="114.6" customHeight="1" x14ac:dyDescent="0.3">
      <c r="A50" s="6" t="s">
        <v>667</v>
      </c>
      <c r="B50" s="192" t="s">
        <v>1280</v>
      </c>
      <c r="C50" s="192"/>
      <c r="D50" s="193"/>
      <c r="E50" s="189" t="s">
        <v>31</v>
      </c>
      <c r="F50" s="191"/>
      <c r="G50" s="222" t="str">
        <f>IF(ISBLANK(IFERROR(VLOOKUP(LEFT($E50,250),'AI Act E'!$B$19:$D$35,3,FALSE),"")),"",IFERROR(VLOOKUP(LEFT($E50,250),'AI Act E'!$B$19:$D$35,3,FALSE),""))</f>
        <v/>
      </c>
      <c r="H50" s="222"/>
      <c r="I50" s="142">
        <f>IF(LEFT($G50,3)="= i",1,0)</f>
        <v>0</v>
      </c>
      <c r="M50" s="122"/>
    </row>
    <row r="51" spans="1:13" ht="48" customHeight="1" x14ac:dyDescent="0.3">
      <c r="A51" s="6" t="s">
        <v>668</v>
      </c>
      <c r="B51" s="192" t="s">
        <v>829</v>
      </c>
      <c r="C51" s="192"/>
      <c r="D51" s="193"/>
      <c r="E51" s="145" t="s">
        <v>31</v>
      </c>
      <c r="F51" s="141" t="str">
        <f>IF($E$51="Yes","(the provider has to document this and register the system)","")</f>
        <v/>
      </c>
      <c r="G51" s="222" t="str">
        <f>IF($I$50=0,"",IF($E51="Yes","= in your particular case, your system is likely not considered high-risk",IF($E51="(select)","","= de-minimis exemption for high-risk systems does not apply")))</f>
        <v/>
      </c>
      <c r="H51" s="222"/>
      <c r="I51" s="79">
        <f>IF($I$50=0,0,IF($E51="Yes",0,1))</f>
        <v>0</v>
      </c>
      <c r="M51" s="122"/>
    </row>
    <row r="52" spans="1:13" ht="47.4" customHeight="1" x14ac:dyDescent="0.3">
      <c r="A52" s="6" t="s">
        <v>669</v>
      </c>
      <c r="B52" s="192" t="s">
        <v>859</v>
      </c>
      <c r="C52" s="192"/>
      <c r="D52" s="193"/>
      <c r="E52" s="146" t="s">
        <v>31</v>
      </c>
      <c r="F52" s="141"/>
      <c r="G52" s="223" t="str">
        <f>IF($E52="Yes","= likely a general purpose AI model as per AI Act","")</f>
        <v/>
      </c>
      <c r="H52" s="223"/>
      <c r="I52" s="79">
        <f>IF(LEFT($G52,1)="=",1,0)</f>
        <v>0</v>
      </c>
      <c r="M52" s="122"/>
    </row>
    <row r="53" spans="1:13" ht="15" customHeight="1" x14ac:dyDescent="0.3">
      <c r="A53" s="6"/>
      <c r="B53" s="40"/>
      <c r="C53" s="40"/>
      <c r="D53" s="41"/>
      <c r="E53" s="41"/>
      <c r="F53" s="141"/>
      <c r="G53" s="120"/>
      <c r="H53" s="120"/>
      <c r="I53" s="79"/>
      <c r="M53" s="122"/>
    </row>
    <row r="54" spans="1:13" ht="15.6" customHeight="1" x14ac:dyDescent="0.3">
      <c r="A54" s="6"/>
      <c r="B54" s="1" t="s">
        <v>832</v>
      </c>
      <c r="C54" s="40"/>
      <c r="D54" s="41"/>
      <c r="E54" s="41"/>
      <c r="F54" s="141"/>
      <c r="G54" s="120"/>
      <c r="H54" s="120"/>
      <c r="I54" s="79"/>
      <c r="M54" s="122"/>
    </row>
    <row r="55" spans="1:13" ht="11.4" customHeight="1" x14ac:dyDescent="0.3">
      <c r="A55" s="6"/>
      <c r="B55" s="40"/>
      <c r="C55" s="40"/>
      <c r="D55" s="41"/>
      <c r="E55" s="119" t="s">
        <v>192</v>
      </c>
      <c r="F55" s="119" t="s">
        <v>1084</v>
      </c>
      <c r="G55" s="120"/>
      <c r="H55" s="120"/>
      <c r="I55" s="79"/>
      <c r="M55" s="122"/>
    </row>
    <row r="56" spans="1:13" x14ac:dyDescent="0.3">
      <c r="A56" s="6" t="s">
        <v>670</v>
      </c>
      <c r="B56" s="192" t="s">
        <v>861</v>
      </c>
      <c r="C56" s="192"/>
      <c r="D56" s="193"/>
      <c r="E56" s="126" t="s">
        <v>31</v>
      </c>
      <c r="F56" s="143"/>
      <c r="G56" s="222" t="str">
        <f>IF(AND($E$56="Yes",OR($E$57="Yes",$E$58="Yes"),$E$59="Yes"),"= you are likely subject to the AI Act as a provider","")</f>
        <v/>
      </c>
      <c r="H56" s="222"/>
      <c r="I56" s="56"/>
      <c r="M56" s="122"/>
    </row>
    <row r="57" spans="1:13" x14ac:dyDescent="0.3">
      <c r="A57" s="6" t="s">
        <v>694</v>
      </c>
      <c r="B57" s="192" t="s">
        <v>1074</v>
      </c>
      <c r="C57" s="192"/>
      <c r="D57" s="193"/>
      <c r="E57" s="126" t="s">
        <v>31</v>
      </c>
      <c r="F57" s="143"/>
      <c r="G57" s="222"/>
      <c r="H57" s="222"/>
      <c r="I57" s="56"/>
      <c r="M57" s="122"/>
    </row>
    <row r="58" spans="1:13" x14ac:dyDescent="0.3">
      <c r="A58" s="6" t="s">
        <v>702</v>
      </c>
      <c r="B58" s="192" t="s">
        <v>1090</v>
      </c>
      <c r="C58" s="192"/>
      <c r="D58" s="193"/>
      <c r="E58" s="126" t="s">
        <v>31</v>
      </c>
      <c r="F58" s="143"/>
      <c r="G58" s="222"/>
      <c r="H58" s="222"/>
      <c r="I58" s="56"/>
      <c r="M58" s="122"/>
    </row>
    <row r="59" spans="1:13" x14ac:dyDescent="0.3">
      <c r="A59" s="6" t="s">
        <v>830</v>
      </c>
      <c r="B59" s="192" t="s">
        <v>835</v>
      </c>
      <c r="C59" s="192"/>
      <c r="D59" s="193"/>
      <c r="E59" s="126" t="s">
        <v>31</v>
      </c>
      <c r="F59" s="143"/>
      <c r="G59" s="222"/>
      <c r="H59" s="222"/>
      <c r="I59" s="56"/>
      <c r="M59" s="122"/>
    </row>
    <row r="60" spans="1:13" x14ac:dyDescent="0.3">
      <c r="A60" s="6" t="s">
        <v>831</v>
      </c>
      <c r="B60" s="192" t="s">
        <v>1077</v>
      </c>
      <c r="C60" s="192"/>
      <c r="D60" s="193"/>
      <c r="E60" s="126" t="s">
        <v>31</v>
      </c>
      <c r="F60" s="143"/>
      <c r="G60" s="222" t="str">
        <f>IF($I51=0,"",IF(OR($E$60="Yes",$E$61="Yes",$E$62="Yes",$E$63="Yes"),"= you are likely subject to the AI Act as a provider as per Art. 25 AI Act",""))</f>
        <v/>
      </c>
      <c r="H60" s="222"/>
      <c r="I60" s="56"/>
      <c r="M60" s="122"/>
    </row>
    <row r="61" spans="1:13" x14ac:dyDescent="0.3">
      <c r="A61" s="6" t="s">
        <v>833</v>
      </c>
      <c r="B61" s="192" t="s">
        <v>1076</v>
      </c>
      <c r="C61" s="192"/>
      <c r="D61" s="193"/>
      <c r="E61" s="126" t="s">
        <v>31</v>
      </c>
      <c r="F61" s="143"/>
      <c r="G61" s="222"/>
      <c r="H61" s="222"/>
      <c r="I61" s="56"/>
      <c r="M61" s="122"/>
    </row>
    <row r="62" spans="1:13" ht="30" customHeight="1" x14ac:dyDescent="0.3">
      <c r="A62" s="6" t="s">
        <v>834</v>
      </c>
      <c r="B62" s="192" t="s">
        <v>1078</v>
      </c>
      <c r="C62" s="192"/>
      <c r="D62" s="193"/>
      <c r="E62" s="126" t="s">
        <v>31</v>
      </c>
      <c r="F62" s="143"/>
      <c r="G62" s="222"/>
      <c r="H62" s="222"/>
      <c r="I62" s="56"/>
      <c r="M62" s="122"/>
    </row>
    <row r="63" spans="1:13" ht="48" customHeight="1" x14ac:dyDescent="0.3">
      <c r="A63" s="6" t="s">
        <v>838</v>
      </c>
      <c r="B63" s="192" t="s">
        <v>1080</v>
      </c>
      <c r="C63" s="192"/>
      <c r="D63" s="193"/>
      <c r="E63" s="126" t="s">
        <v>31</v>
      </c>
      <c r="F63" s="143"/>
      <c r="G63" s="222"/>
      <c r="H63" s="222"/>
      <c r="I63" s="79">
        <f>IF($G$56&amp;$G$60="",0,1)</f>
        <v>0</v>
      </c>
      <c r="M63" s="122"/>
    </row>
    <row r="64" spans="1:13" ht="33" customHeight="1" x14ac:dyDescent="0.3">
      <c r="A64" s="6" t="s">
        <v>848</v>
      </c>
      <c r="B64" s="192" t="s">
        <v>836</v>
      </c>
      <c r="C64" s="192"/>
      <c r="D64" s="193"/>
      <c r="E64" s="126" t="s">
        <v>31</v>
      </c>
      <c r="F64" s="143"/>
      <c r="G64" s="222" t="str">
        <f>IF($I$63=0,IF($E$64="Yes","= you are likely subject to the AI Act as a distributor",""),"")</f>
        <v/>
      </c>
      <c r="H64" s="222"/>
      <c r="I64" s="79">
        <f>IF($G$64="",0,1)</f>
        <v>0</v>
      </c>
      <c r="M64" s="122"/>
    </row>
    <row r="65" spans="1:13" ht="33" customHeight="1" x14ac:dyDescent="0.3">
      <c r="A65" s="6" t="s">
        <v>847</v>
      </c>
      <c r="B65" s="192" t="s">
        <v>837</v>
      </c>
      <c r="C65" s="192"/>
      <c r="D65" s="193"/>
      <c r="E65" s="126" t="s">
        <v>31</v>
      </c>
      <c r="F65" s="143"/>
      <c r="G65" s="222" t="str">
        <f>IF($E$65="Yes","= you are likely subject to the AI Act as an importer","")</f>
        <v/>
      </c>
      <c r="H65" s="222"/>
      <c r="I65" s="79">
        <f>IF($G$65="",0,1)</f>
        <v>0</v>
      </c>
      <c r="M65" s="122"/>
    </row>
    <row r="66" spans="1:13" x14ac:dyDescent="0.3">
      <c r="F66" s="77"/>
      <c r="G66" s="77"/>
      <c r="H66" s="77"/>
      <c r="I66" s="56"/>
      <c r="M66" s="122"/>
    </row>
    <row r="67" spans="1:13" ht="26.4" customHeight="1" x14ac:dyDescent="0.3">
      <c r="B67" s="227" t="s">
        <v>852</v>
      </c>
      <c r="C67" s="227"/>
      <c r="D67" s="227"/>
      <c r="E67" s="227"/>
      <c r="F67" s="227"/>
      <c r="G67" s="227"/>
      <c r="H67" s="227"/>
      <c r="I67" s="56"/>
      <c r="M67" s="122"/>
    </row>
    <row r="68" spans="1:13" x14ac:dyDescent="0.3">
      <c r="F68" s="77"/>
      <c r="G68" s="77"/>
      <c r="H68" s="77"/>
      <c r="I68" s="56"/>
      <c r="M68" s="122"/>
    </row>
    <row r="69" spans="1:13" x14ac:dyDescent="0.3">
      <c r="A69" s="6"/>
      <c r="B69" s="1" t="s">
        <v>851</v>
      </c>
      <c r="C69" s="40"/>
      <c r="D69" s="41"/>
      <c r="E69" s="41"/>
      <c r="F69" s="141"/>
      <c r="G69" s="120"/>
      <c r="H69" s="120"/>
      <c r="I69" s="79"/>
      <c r="M69" s="122"/>
    </row>
    <row r="70" spans="1:13" x14ac:dyDescent="0.3">
      <c r="A70" s="6"/>
      <c r="B70" s="40"/>
      <c r="C70" s="40"/>
      <c r="D70" s="41"/>
      <c r="E70" s="119" t="s">
        <v>192</v>
      </c>
      <c r="F70" s="119" t="s">
        <v>1084</v>
      </c>
      <c r="G70" s="120"/>
      <c r="H70" s="120"/>
      <c r="I70" s="79"/>
      <c r="M70" s="122"/>
    </row>
    <row r="71" spans="1:13" ht="14.4" customHeight="1" x14ac:dyDescent="0.3">
      <c r="A71" s="6" t="s">
        <v>849</v>
      </c>
      <c r="B71" s="192" t="s">
        <v>844</v>
      </c>
      <c r="C71" s="192"/>
      <c r="D71" s="193"/>
      <c r="E71" s="126" t="s">
        <v>31</v>
      </c>
      <c r="F71" s="143"/>
      <c r="G71" s="226" t="str">
        <f>IF(AND($E$71="Yes",OR($E$72="Yes",$E$73="Yes")),"= you are likely subject to the AI Act as a deployer","")</f>
        <v/>
      </c>
      <c r="H71" s="222"/>
      <c r="I71" s="56"/>
      <c r="M71" s="122"/>
    </row>
    <row r="72" spans="1:13" x14ac:dyDescent="0.3">
      <c r="A72" s="6" t="s">
        <v>850</v>
      </c>
      <c r="B72" s="192" t="s">
        <v>845</v>
      </c>
      <c r="C72" s="192"/>
      <c r="D72" s="193"/>
      <c r="E72" s="126" t="s">
        <v>31</v>
      </c>
      <c r="F72" s="143"/>
      <c r="G72" s="226"/>
      <c r="H72" s="222"/>
      <c r="I72" s="56"/>
      <c r="M72" s="122"/>
    </row>
    <row r="73" spans="1:13" x14ac:dyDescent="0.3">
      <c r="A73" s="6" t="s">
        <v>860</v>
      </c>
      <c r="B73" s="192" t="s">
        <v>862</v>
      </c>
      <c r="C73" s="192"/>
      <c r="D73" s="193"/>
      <c r="E73" s="126" t="s">
        <v>31</v>
      </c>
      <c r="F73" s="143"/>
      <c r="G73" s="226"/>
      <c r="H73" s="222"/>
      <c r="I73" s="79">
        <f>IF($G$71="",0,1)</f>
        <v>0</v>
      </c>
      <c r="M73" s="122"/>
    </row>
    <row r="74" spans="1:13" x14ac:dyDescent="0.3">
      <c r="F74" s="77"/>
      <c r="G74" s="77"/>
      <c r="H74" s="77"/>
      <c r="M74" s="122"/>
    </row>
    <row r="75" spans="1:13" x14ac:dyDescent="0.3">
      <c r="B75" s="1" t="s">
        <v>853</v>
      </c>
      <c r="F75" s="77"/>
      <c r="G75" s="77"/>
      <c r="H75" s="77"/>
      <c r="M75" s="122"/>
    </row>
    <row r="76" spans="1:13" x14ac:dyDescent="0.3">
      <c r="B76" s="1"/>
      <c r="F76" s="77"/>
      <c r="G76" s="77"/>
      <c r="H76" s="77"/>
      <c r="M76" s="122"/>
    </row>
    <row r="77" spans="1:13" ht="15.6" customHeight="1" x14ac:dyDescent="0.3">
      <c r="B77" t="s">
        <v>854</v>
      </c>
      <c r="D77" s="224" t="str">
        <f>IF(AND($I$48+$I$52&gt;0,SUM($I$63:$I$73)&gt;0),"Yes","No")</f>
        <v>No</v>
      </c>
      <c r="E77" s="225"/>
      <c r="F77" s="77"/>
      <c r="G77" s="77"/>
      <c r="H77" s="77"/>
    </row>
    <row r="78" spans="1:13" ht="15.6" customHeight="1" x14ac:dyDescent="0.3">
      <c r="B78" t="s">
        <v>857</v>
      </c>
      <c r="D78" s="224" t="str">
        <f>SUBSTITUTE($F$78,MID($F$78,1,1),UPPER(MID($F$78,1,1)),1)</f>
        <v>Other AI system</v>
      </c>
      <c r="E78" s="225"/>
      <c r="F78" s="56" t="str">
        <f>LEFT(IF($I$49=1,"prohibited AI system, ",IF($I$51=1,"high-risk AI system, ","other AI system, "))&amp;IF($I52=1,"general purpose AI model, ",""),LEN(IF($I$49=1,"prohibited AI system, ",IF($I$51=1,"high-risk AI system, ","other AI system, "))&amp;IF($I52=1,"general purpose AI model, ",""))-2)</f>
        <v>other AI system</v>
      </c>
      <c r="G78" s="77"/>
      <c r="H78" s="77"/>
    </row>
    <row r="79" spans="1:13" ht="15.6" customHeight="1" x14ac:dyDescent="0.3">
      <c r="B79" t="s">
        <v>855</v>
      </c>
      <c r="D79" s="224" t="str">
        <f>IFERROR(LEFT(IF($I$63=1,"Provider, ","")&amp;IF($I$64=1,"Distributor, ","")&amp;IF($I$65=1,"Importer, ","")&amp;IF($I$73=1,"Deployer, ",""),LEN(IF($I$63=1,"Provider, ","")&amp;IF($I$64=1,"Distributor, ","")&amp;IF($I$65=1,"Importer, ","")&amp;IF($I$73=1,"Deployer, ",""))-2),"None")</f>
        <v>None</v>
      </c>
      <c r="E79" s="225"/>
      <c r="F79" s="77"/>
      <c r="G79" s="77"/>
      <c r="H79" s="77"/>
    </row>
    <row r="81" spans="1:13" ht="15.6" x14ac:dyDescent="0.3">
      <c r="A81" s="3" t="s">
        <v>190</v>
      </c>
      <c r="B81" s="206" t="s">
        <v>717</v>
      </c>
      <c r="C81" s="206"/>
      <c r="D81" s="206"/>
    </row>
    <row r="83" spans="1:13" ht="37.950000000000003" customHeight="1" x14ac:dyDescent="0.3">
      <c r="B83" s="205" t="s">
        <v>691</v>
      </c>
      <c r="C83" s="205"/>
      <c r="D83" s="205"/>
      <c r="E83" s="205"/>
      <c r="F83" s="205"/>
      <c r="G83" s="205"/>
      <c r="H83" s="205"/>
      <c r="I83" s="109"/>
    </row>
    <row r="85" spans="1:13" ht="16.95" customHeight="1" x14ac:dyDescent="0.3">
      <c r="A85" s="6" t="s">
        <v>863</v>
      </c>
      <c r="B85" s="192" t="s">
        <v>701</v>
      </c>
      <c r="C85" s="192"/>
      <c r="D85" s="193"/>
      <c r="E85" s="126" t="s">
        <v>31</v>
      </c>
      <c r="M85" s="122"/>
    </row>
    <row r="86" spans="1:13" ht="16.95" customHeight="1" x14ac:dyDescent="0.3">
      <c r="A86" s="6" t="s">
        <v>864</v>
      </c>
      <c r="B86" s="192" t="s">
        <v>700</v>
      </c>
      <c r="C86" s="192"/>
      <c r="D86" s="193"/>
      <c r="E86" s="126" t="s">
        <v>31</v>
      </c>
      <c r="M86" s="122"/>
    </row>
    <row r="87" spans="1:13" ht="16.95" customHeight="1" x14ac:dyDescent="0.3">
      <c r="A87" s="6" t="s">
        <v>865</v>
      </c>
      <c r="B87" s="192" t="s">
        <v>707</v>
      </c>
      <c r="C87" s="192"/>
      <c r="D87" s="193"/>
      <c r="E87" s="126" t="s">
        <v>31</v>
      </c>
      <c r="M87" s="122"/>
    </row>
    <row r="88" spans="1:13" ht="16.95" customHeight="1" x14ac:dyDescent="0.3">
      <c r="A88" s="6" t="s">
        <v>866</v>
      </c>
      <c r="B88" s="192" t="s">
        <v>749</v>
      </c>
      <c r="C88" s="192"/>
      <c r="D88" s="193"/>
      <c r="E88" s="126" t="s">
        <v>31</v>
      </c>
      <c r="M88" s="122"/>
    </row>
    <row r="89" spans="1:13" ht="16.95" customHeight="1" x14ac:dyDescent="0.3">
      <c r="A89" s="6" t="s">
        <v>867</v>
      </c>
      <c r="B89" s="192" t="s">
        <v>748</v>
      </c>
      <c r="C89" s="192"/>
      <c r="D89" s="193"/>
      <c r="E89" s="126" t="s">
        <v>31</v>
      </c>
      <c r="M89" s="122"/>
    </row>
    <row r="90" spans="1:13" s="132" customFormat="1" ht="18" customHeight="1" x14ac:dyDescent="0.3">
      <c r="A90" s="176" t="s">
        <v>1111</v>
      </c>
      <c r="B90" s="192" t="s">
        <v>922</v>
      </c>
      <c r="C90" s="192"/>
      <c r="D90" s="193"/>
      <c r="E90" s="126" t="s">
        <v>31</v>
      </c>
      <c r="M90" s="133"/>
    </row>
    <row r="91" spans="1:13" ht="16.95" customHeight="1" x14ac:dyDescent="0.3">
      <c r="A91" s="6" t="s">
        <v>868</v>
      </c>
      <c r="B91" s="192" t="s">
        <v>743</v>
      </c>
      <c r="C91" s="192"/>
      <c r="D91" s="193"/>
      <c r="E91" s="126" t="s">
        <v>31</v>
      </c>
      <c r="M91" s="122"/>
    </row>
    <row r="92" spans="1:13" ht="16.95" customHeight="1" x14ac:dyDescent="0.3">
      <c r="A92" s="6" t="s">
        <v>869</v>
      </c>
      <c r="B92" s="192" t="s">
        <v>708</v>
      </c>
      <c r="C92" s="192"/>
      <c r="D92" s="193"/>
      <c r="E92" s="126" t="s">
        <v>31</v>
      </c>
      <c r="M92" s="122"/>
    </row>
    <row r="93" spans="1:13" x14ac:dyDescent="0.3">
      <c r="A93" s="6"/>
      <c r="B93" s="192"/>
      <c r="C93" s="192"/>
      <c r="D93" s="193"/>
      <c r="E93" s="56" t="str">
        <f>$E$85&amp;$E$86&amp;$E$87&amp;$E$88&amp;$E$89&amp;$E$92&amp;E$90&amp;E$91</f>
        <v>(select)(select)(select)(select)(select)(select)(select)(select)</v>
      </c>
      <c r="M93" s="122"/>
    </row>
    <row r="94" spans="1:13" ht="14.4" customHeight="1" x14ac:dyDescent="0.3">
      <c r="A94" s="6"/>
      <c r="B94" s="208" t="s">
        <v>671</v>
      </c>
      <c r="C94" s="208"/>
      <c r="D94" s="217" t="str">
        <f>IF(IFERROR(FIND("(select)",$E$93),0)&gt;0,"(please make all selections above)",IF(IFERROR(FIND("Yes",$E$93),0)&gt;0,"Your application involves relevant risk factors. A comprehensive risk assessment (GAIRA) is recommended.","Your application seems to pose limited risks; please proceed with below (GAIRA Light)."))</f>
        <v>(please make all selections above)</v>
      </c>
      <c r="E94" s="218"/>
      <c r="F94" s="218"/>
      <c r="G94" s="218"/>
      <c r="H94" s="121" t="s">
        <v>690</v>
      </c>
      <c r="M94" s="122"/>
    </row>
    <row r="95" spans="1:13" ht="14.4" customHeight="1" x14ac:dyDescent="0.3">
      <c r="A95" s="6"/>
      <c r="B95" s="116"/>
      <c r="C95" s="116"/>
      <c r="D95" s="116"/>
      <c r="E95" s="116"/>
      <c r="F95" s="116"/>
      <c r="G95" s="116"/>
      <c r="M95" s="122"/>
    </row>
    <row r="96" spans="1:13" ht="13.95" customHeight="1" x14ac:dyDescent="0.3">
      <c r="A96" s="6"/>
      <c r="B96" s="208" t="s">
        <v>672</v>
      </c>
      <c r="C96" s="212"/>
      <c r="D96" s="83" t="s">
        <v>31</v>
      </c>
      <c r="E96" s="120" t="s">
        <v>688</v>
      </c>
      <c r="F96" s="219"/>
      <c r="G96" s="219"/>
      <c r="H96" s="219"/>
      <c r="M96" s="122"/>
    </row>
    <row r="97" spans="1:13" ht="18" customHeight="1" x14ac:dyDescent="0.3">
      <c r="D97" s="7" t="s">
        <v>686</v>
      </c>
      <c r="F97" s="220"/>
      <c r="G97" s="220"/>
      <c r="H97" s="220"/>
      <c r="M97" s="122"/>
    </row>
    <row r="99" spans="1:13" ht="15.6" x14ac:dyDescent="0.3">
      <c r="A99" s="3" t="s">
        <v>185</v>
      </c>
      <c r="B99" s="206" t="s">
        <v>718</v>
      </c>
      <c r="C99" s="206"/>
      <c r="D99" s="206"/>
    </row>
    <row r="101" spans="1:13" ht="85.95" customHeight="1" x14ac:dyDescent="0.3">
      <c r="B101" s="205" t="s">
        <v>731</v>
      </c>
      <c r="C101" s="205"/>
      <c r="D101" s="205"/>
      <c r="E101" s="205"/>
      <c r="F101" s="205"/>
      <c r="G101" s="205"/>
      <c r="H101" s="205"/>
      <c r="I101" s="109"/>
    </row>
    <row r="102" spans="1:13" x14ac:dyDescent="0.3">
      <c r="B102" s="208" t="s">
        <v>721</v>
      </c>
      <c r="C102" s="208"/>
      <c r="D102" s="208"/>
      <c r="E102" s="117"/>
      <c r="F102" s="117"/>
      <c r="G102" s="117"/>
      <c r="H102" s="117"/>
      <c r="I102" s="109"/>
    </row>
    <row r="103" spans="1:13" ht="15.6" customHeight="1" x14ac:dyDescent="0.3">
      <c r="B103" s="117"/>
      <c r="C103" s="117"/>
      <c r="D103" s="117"/>
      <c r="E103" s="119" t="s">
        <v>192</v>
      </c>
      <c r="F103" s="119" t="s">
        <v>275</v>
      </c>
      <c r="G103" s="117"/>
      <c r="H103" s="117"/>
      <c r="I103" s="109"/>
    </row>
    <row r="104" spans="1:13" ht="16.95" customHeight="1" x14ac:dyDescent="0.3">
      <c r="A104" s="29">
        <v>4.01</v>
      </c>
      <c r="B104" s="192" t="s">
        <v>723</v>
      </c>
      <c r="C104" s="192"/>
      <c r="D104" s="193"/>
      <c r="E104" s="126" t="s">
        <v>31</v>
      </c>
      <c r="F104" s="127"/>
      <c r="H104" s="118"/>
      <c r="I104" s="109"/>
      <c r="L104" s="56"/>
      <c r="M104" s="124">
        <f>IF($K103="N/A",0,IF(OR($E104="(select)",$E104=""),1,0))</f>
        <v>1</v>
      </c>
    </row>
    <row r="105" spans="1:13" ht="16.95" customHeight="1" x14ac:dyDescent="0.3">
      <c r="A105" s="29">
        <f>IF($K105="N/A","",MAX($A$104:$A104)+0.01)</f>
        <v>4.0199999999999996</v>
      </c>
      <c r="B105" s="192" t="s">
        <v>724</v>
      </c>
      <c r="C105" s="192"/>
      <c r="D105" s="193"/>
      <c r="E105" s="126" t="s">
        <v>31</v>
      </c>
      <c r="F105" s="127"/>
      <c r="H105" s="118"/>
      <c r="I105" s="109"/>
      <c r="K105" s="118" t="str">
        <f t="shared" ref="K105:K107" si="0">IF($E$104="No","N/A","")</f>
        <v/>
      </c>
      <c r="L105" s="56"/>
      <c r="M105" s="124">
        <f t="shared" ref="M105:M110" si="1">IF($K105="N/A",0,IF(OR($E105="(select)",$E105=""),1,0))</f>
        <v>1</v>
      </c>
    </row>
    <row r="106" spans="1:13" ht="16.95" customHeight="1" x14ac:dyDescent="0.3">
      <c r="A106" s="29">
        <f>IF($K106="N/A","",MAX($A$104:$A105)+0.01)</f>
        <v>4.0299999999999994</v>
      </c>
      <c r="B106" s="192" t="s">
        <v>725</v>
      </c>
      <c r="C106" s="192"/>
      <c r="D106" s="193"/>
      <c r="E106" s="126" t="s">
        <v>31</v>
      </c>
      <c r="F106" s="127"/>
      <c r="H106" s="118"/>
      <c r="I106" s="109"/>
      <c r="K106" s="118" t="str">
        <f t="shared" si="0"/>
        <v/>
      </c>
      <c r="L106" s="56"/>
      <c r="M106" s="124">
        <f t="shared" si="1"/>
        <v>1</v>
      </c>
    </row>
    <row r="107" spans="1:13" ht="16.95" customHeight="1" x14ac:dyDescent="0.3">
      <c r="A107" s="29">
        <f>IF($K107="N/A","",MAX($A$104:$A106)+0.01)</f>
        <v>4.0399999999999991</v>
      </c>
      <c r="B107" s="192" t="s">
        <v>735</v>
      </c>
      <c r="C107" s="192"/>
      <c r="D107" s="193"/>
      <c r="E107" s="126" t="s">
        <v>31</v>
      </c>
      <c r="F107" s="127"/>
      <c r="H107" s="118"/>
      <c r="I107" s="109"/>
      <c r="K107" s="118" t="str">
        <f t="shared" si="0"/>
        <v/>
      </c>
      <c r="L107" s="56"/>
      <c r="M107" s="124">
        <f t="shared" si="1"/>
        <v>1</v>
      </c>
    </row>
    <row r="108" spans="1:13" ht="16.95" customHeight="1" x14ac:dyDescent="0.3">
      <c r="A108" s="29">
        <f>IF($K108="N/A","",MAX($A$104:$A107)+0.01)</f>
        <v>4.0499999999999989</v>
      </c>
      <c r="B108" s="192" t="s">
        <v>673</v>
      </c>
      <c r="C108" s="192"/>
      <c r="D108" s="193"/>
      <c r="E108" s="126" t="s">
        <v>31</v>
      </c>
      <c r="F108" s="127"/>
      <c r="G108" s="117"/>
      <c r="H108" s="118"/>
      <c r="I108" s="109"/>
      <c r="K108" s="118"/>
      <c r="L108" s="56"/>
      <c r="M108" s="124">
        <f t="shared" si="1"/>
        <v>1</v>
      </c>
    </row>
    <row r="109" spans="1:13" ht="16.95" customHeight="1" x14ac:dyDescent="0.3">
      <c r="A109" s="29">
        <f>IF($K109="N/A","",MAX($A$104:$A108)+0.01)</f>
        <v>4.0599999999999987</v>
      </c>
      <c r="B109" s="192" t="s">
        <v>674</v>
      </c>
      <c r="C109" s="192"/>
      <c r="D109" s="193"/>
      <c r="E109" s="126" t="s">
        <v>31</v>
      </c>
      <c r="F109" s="127"/>
      <c r="G109" s="117"/>
      <c r="H109" s="118"/>
      <c r="I109" s="109"/>
      <c r="K109" s="118"/>
      <c r="L109" s="56"/>
      <c r="M109" s="124">
        <f t="shared" si="1"/>
        <v>1</v>
      </c>
    </row>
    <row r="110" spans="1:13" ht="16.95" customHeight="1" x14ac:dyDescent="0.3">
      <c r="A110" s="29">
        <f>IF($K110="N/A","",MAX($A$104:$A109)+0.01)</f>
        <v>4.0699999999999985</v>
      </c>
      <c r="B110" s="192" t="s">
        <v>706</v>
      </c>
      <c r="C110" s="192"/>
      <c r="D110" s="193"/>
      <c r="E110" s="126" t="s">
        <v>31</v>
      </c>
      <c r="F110" s="127"/>
      <c r="G110" s="117"/>
      <c r="H110" s="118"/>
      <c r="I110" s="109"/>
      <c r="K110" s="118"/>
      <c r="L110" s="56"/>
      <c r="M110" s="124">
        <f t="shared" si="1"/>
        <v>1</v>
      </c>
    </row>
    <row r="111" spans="1:13" ht="16.95" customHeight="1" x14ac:dyDescent="0.3">
      <c r="F111" s="118"/>
      <c r="H111" s="118"/>
      <c r="L111" s="56"/>
      <c r="M111" s="56"/>
    </row>
    <row r="112" spans="1:13" ht="16.95" customHeight="1" x14ac:dyDescent="0.3">
      <c r="B112" s="208" t="s">
        <v>722</v>
      </c>
      <c r="C112" s="208"/>
      <c r="D112" s="117"/>
      <c r="E112" s="117"/>
      <c r="F112" s="118"/>
      <c r="H112" s="118"/>
      <c r="L112" s="56"/>
      <c r="M112" s="56"/>
    </row>
    <row r="113" spans="1:13" ht="16.95" customHeight="1" x14ac:dyDescent="0.3">
      <c r="B113" s="117"/>
      <c r="C113" s="117"/>
      <c r="D113" s="117"/>
      <c r="E113" s="119" t="s">
        <v>192</v>
      </c>
      <c r="F113" s="119" t="s">
        <v>703</v>
      </c>
      <c r="G113" s="119" t="s">
        <v>677</v>
      </c>
      <c r="H113" s="119" t="s">
        <v>693</v>
      </c>
      <c r="I113" s="119" t="s">
        <v>692</v>
      </c>
      <c r="J113" s="119" t="s">
        <v>10</v>
      </c>
      <c r="L113" s="56"/>
      <c r="M113" s="56"/>
    </row>
    <row r="114" spans="1:13" ht="16.95" customHeight="1" x14ac:dyDescent="0.3">
      <c r="A114" s="29">
        <f>IF($K114="N/A","",MAX($A$104:$A113)+0.01)</f>
        <v>4.0799999999999983</v>
      </c>
      <c r="B114" s="192" t="s">
        <v>720</v>
      </c>
      <c r="C114" s="192"/>
      <c r="D114" s="193"/>
      <c r="E114" s="126" t="s">
        <v>31</v>
      </c>
      <c r="F114" s="127"/>
      <c r="G114" s="128" t="str">
        <f t="shared" ref="G114:G121" si="2">IF($K114="N/A","",IF($E114="Yes","OK",IF($E114="(select)","","Warning!")))</f>
        <v/>
      </c>
      <c r="H114" s="126" t="s">
        <v>31</v>
      </c>
      <c r="I114" s="47"/>
      <c r="J114" s="126" t="s">
        <v>31</v>
      </c>
      <c r="K114" s="129" t="str">
        <f>IF(OR($E$104="No",$E$109="No"),"N/A","")</f>
        <v/>
      </c>
      <c r="L114" s="56">
        <f t="shared" ref="L114:L121" si="3">IF($K114="N/A",0,IF($G114="OK",0,IF(AND($J114="Accepted",NOT($H114="")),0,1)))</f>
        <v>1</v>
      </c>
      <c r="M114" s="124">
        <f t="shared" ref="M114:M121" si="4">IF($K114="N/A",0,IF(OR($E114="(select)",$E114=""),1,0))</f>
        <v>1</v>
      </c>
    </row>
    <row r="115" spans="1:13" ht="16.95" customHeight="1" x14ac:dyDescent="0.3">
      <c r="A115" s="29">
        <f>IF($K115="N/A","",MAX($A$104:$A114)+0.01)</f>
        <v>4.0899999999999981</v>
      </c>
      <c r="B115" s="192" t="s">
        <v>727</v>
      </c>
      <c r="C115" s="192"/>
      <c r="D115" s="193"/>
      <c r="E115" s="126" t="s">
        <v>31</v>
      </c>
      <c r="F115" s="127"/>
      <c r="G115" s="128" t="str">
        <f t="shared" si="2"/>
        <v/>
      </c>
      <c r="H115" s="126" t="s">
        <v>31</v>
      </c>
      <c r="I115" s="47"/>
      <c r="J115" s="126" t="s">
        <v>31</v>
      </c>
      <c r="K115" s="129" t="str">
        <f>IF(OR(OR($E$104="No",$E$105="No"),$E$109="No"),"N/A","")</f>
        <v/>
      </c>
      <c r="L115" s="56">
        <f t="shared" si="3"/>
        <v>1</v>
      </c>
      <c r="M115" s="124">
        <f t="shared" si="4"/>
        <v>1</v>
      </c>
    </row>
    <row r="116" spans="1:13" ht="16.95" customHeight="1" x14ac:dyDescent="0.3">
      <c r="A116" s="29">
        <f>IF($K116="N/A","",MAX($A$104:$A115)+0.01)</f>
        <v>4.0999999999999979</v>
      </c>
      <c r="B116" s="192" t="s">
        <v>728</v>
      </c>
      <c r="C116" s="192"/>
      <c r="D116" s="193"/>
      <c r="E116" s="126" t="s">
        <v>31</v>
      </c>
      <c r="F116" s="127"/>
      <c r="G116" s="128" t="str">
        <f>IF($K116="N/A","",IF($E116="Yes","OK",IF($E116="(select)","","Warning!")))</f>
        <v/>
      </c>
      <c r="H116" s="126" t="s">
        <v>31</v>
      </c>
      <c r="I116" s="47"/>
      <c r="J116" s="126" t="s">
        <v>31</v>
      </c>
      <c r="K116" s="129" t="str">
        <f>IF(OR($E$104="No",$E$108="No"),"N/A","")</f>
        <v/>
      </c>
      <c r="L116" s="56">
        <f t="shared" si="3"/>
        <v>1</v>
      </c>
      <c r="M116" s="124">
        <f>IF($K116="N/A",0,IF(OR($E116="(select)",$E116=""),1,0))</f>
        <v>1</v>
      </c>
    </row>
    <row r="117" spans="1:13" ht="16.95" customHeight="1" x14ac:dyDescent="0.3">
      <c r="A117" s="29">
        <f>IF($K117="N/A","",MAX($A$104:$A116)+0.01)</f>
        <v>4.1099999999999977</v>
      </c>
      <c r="B117" s="192" t="s">
        <v>719</v>
      </c>
      <c r="C117" s="192"/>
      <c r="D117" s="193"/>
      <c r="E117" s="126" t="s">
        <v>31</v>
      </c>
      <c r="F117" s="127"/>
      <c r="G117" s="128" t="str">
        <f>IF($K117="N/A","",IF($E117="Yes","OK",IF($E117="(select)","","Warning!")))</f>
        <v/>
      </c>
      <c r="H117" s="126" t="s">
        <v>31</v>
      </c>
      <c r="I117" s="47"/>
      <c r="J117" s="126" t="s">
        <v>31</v>
      </c>
      <c r="K117" s="129" t="str">
        <f>IF(OR($E$104="No",$E$110="No"),"N/A","")</f>
        <v/>
      </c>
      <c r="L117" s="56">
        <f t="shared" si="3"/>
        <v>1</v>
      </c>
      <c r="M117" s="124">
        <f>IF($K117="N/A",0,IF(OR($E117="(select)",$E117=""),1,0))</f>
        <v>1</v>
      </c>
    </row>
    <row r="118" spans="1:13" ht="16.95" customHeight="1" x14ac:dyDescent="0.3">
      <c r="A118" s="29">
        <f>IF($K118="N/A","",MAX($A$104:$A117)+0.01)</f>
        <v>4.1199999999999974</v>
      </c>
      <c r="B118" s="192" t="s">
        <v>680</v>
      </c>
      <c r="C118" s="192"/>
      <c r="D118" s="193"/>
      <c r="E118" s="126" t="s">
        <v>31</v>
      </c>
      <c r="F118" s="127"/>
      <c r="G118" s="128" t="str">
        <f t="shared" si="2"/>
        <v/>
      </c>
      <c r="H118" s="126" t="s">
        <v>31</v>
      </c>
      <c r="I118" s="47"/>
      <c r="J118" s="126" t="s">
        <v>31</v>
      </c>
      <c r="K118" s="129" t="str">
        <f t="shared" ref="K118:K121" si="5">IF($E$109="No","N/A","")</f>
        <v/>
      </c>
      <c r="L118" s="56">
        <f t="shared" si="3"/>
        <v>1</v>
      </c>
      <c r="M118" s="124">
        <f t="shared" si="4"/>
        <v>1</v>
      </c>
    </row>
    <row r="119" spans="1:13" ht="16.95" customHeight="1" x14ac:dyDescent="0.3">
      <c r="A119" s="29">
        <f>IF($K119="N/A","",MAX($A$104:$A117)+0.01)</f>
        <v>4.1199999999999974</v>
      </c>
      <c r="B119" s="192" t="s">
        <v>920</v>
      </c>
      <c r="C119" s="192"/>
      <c r="D119" s="193"/>
      <c r="E119" s="126" t="s">
        <v>31</v>
      </c>
      <c r="F119" s="127"/>
      <c r="G119" s="128" t="str">
        <f t="shared" si="2"/>
        <v/>
      </c>
      <c r="H119" s="126" t="s">
        <v>31</v>
      </c>
      <c r="I119" s="47"/>
      <c r="J119" s="126" t="s">
        <v>31</v>
      </c>
      <c r="K119" s="129" t="str">
        <f t="shared" si="5"/>
        <v/>
      </c>
      <c r="L119" s="56">
        <f t="shared" si="3"/>
        <v>1</v>
      </c>
      <c r="M119" s="124">
        <f t="shared" si="4"/>
        <v>1</v>
      </c>
    </row>
    <row r="120" spans="1:13" ht="16.95" customHeight="1" x14ac:dyDescent="0.3">
      <c r="A120" s="29" t="str">
        <f>IF($K120="N/A","",MAX($A$104:$A118)+0.01)</f>
        <v/>
      </c>
      <c r="B120" s="192" t="s">
        <v>919</v>
      </c>
      <c r="C120" s="192"/>
      <c r="D120" s="193"/>
      <c r="E120" s="126" t="s">
        <v>31</v>
      </c>
      <c r="F120" s="127"/>
      <c r="G120" s="128" t="str">
        <f t="shared" si="2"/>
        <v/>
      </c>
      <c r="H120" s="126" t="s">
        <v>31</v>
      </c>
      <c r="I120" s="47"/>
      <c r="J120" s="126" t="s">
        <v>31</v>
      </c>
      <c r="K120" s="129" t="str">
        <f>IF($D$77&lt;&gt;"Yes","N/A","")</f>
        <v>N/A</v>
      </c>
      <c r="L120" s="56">
        <f t="shared" si="3"/>
        <v>0</v>
      </c>
      <c r="M120" s="124">
        <f t="shared" si="4"/>
        <v>0</v>
      </c>
    </row>
    <row r="121" spans="1:13" ht="16.95" customHeight="1" x14ac:dyDescent="0.3">
      <c r="A121" s="29">
        <f>IF($K121="N/A","",MAX($A$104:$A118)+0.01)</f>
        <v>4.1299999999999972</v>
      </c>
      <c r="B121" s="192" t="s">
        <v>1137</v>
      </c>
      <c r="C121" s="192"/>
      <c r="D121" s="193"/>
      <c r="E121" s="126" t="s">
        <v>31</v>
      </c>
      <c r="F121" s="127"/>
      <c r="G121" s="128" t="str">
        <f t="shared" si="2"/>
        <v/>
      </c>
      <c r="H121" s="126" t="s">
        <v>31</v>
      </c>
      <c r="I121" s="47"/>
      <c r="J121" s="126" t="s">
        <v>31</v>
      </c>
      <c r="K121" s="129" t="str">
        <f t="shared" si="5"/>
        <v/>
      </c>
      <c r="L121" s="56">
        <f t="shared" si="3"/>
        <v>1</v>
      </c>
      <c r="M121" s="124">
        <f t="shared" si="4"/>
        <v>1</v>
      </c>
    </row>
    <row r="122" spans="1:13" ht="16.95" customHeight="1" x14ac:dyDescent="0.3">
      <c r="B122" s="192"/>
      <c r="C122" s="192"/>
      <c r="D122" s="193"/>
      <c r="F122" s="118"/>
      <c r="L122" s="56"/>
      <c r="M122" s="56"/>
    </row>
    <row r="123" spans="1:13" ht="16.95" customHeight="1" x14ac:dyDescent="0.3">
      <c r="B123" s="208" t="str">
        <f>"Risk questions ("&amp;25-COUNTIF($A$125:$A149,"*")&amp;")"</f>
        <v>Risk questions (25)</v>
      </c>
      <c r="C123" s="208"/>
      <c r="D123" s="117"/>
      <c r="E123" s="117"/>
      <c r="F123" s="118"/>
      <c r="L123" s="56"/>
      <c r="M123" s="56"/>
    </row>
    <row r="124" spans="1:13" ht="16.95" customHeight="1" x14ac:dyDescent="0.3">
      <c r="B124" s="117"/>
      <c r="C124" s="117"/>
      <c r="D124" s="117"/>
      <c r="E124" s="119" t="s">
        <v>192</v>
      </c>
      <c r="F124" s="119" t="s">
        <v>703</v>
      </c>
      <c r="G124" s="119" t="s">
        <v>677</v>
      </c>
      <c r="H124" s="119" t="s">
        <v>693</v>
      </c>
      <c r="I124" s="119" t="s">
        <v>692</v>
      </c>
      <c r="J124" s="119" t="s">
        <v>10</v>
      </c>
      <c r="L124" s="56"/>
      <c r="M124" s="56"/>
    </row>
    <row r="125" spans="1:13" ht="16.95" customHeight="1" x14ac:dyDescent="0.3">
      <c r="A125" s="29">
        <f>IF($K125="N/A","",MAX($A$104:$A124)+0.01)</f>
        <v>4.139999999999997</v>
      </c>
      <c r="B125" s="192" t="s">
        <v>1141</v>
      </c>
      <c r="C125" s="192"/>
      <c r="D125" s="193"/>
      <c r="E125" s="126" t="s">
        <v>31</v>
      </c>
      <c r="F125" s="127"/>
      <c r="G125" s="128" t="str">
        <f t="shared" ref="G125:G148" si="6">IF($K125="N/A","",IF($E125="Yes","OK",IF($E125="(select)","","Warning!")))</f>
        <v/>
      </c>
      <c r="H125" s="126" t="s">
        <v>31</v>
      </c>
      <c r="I125" s="47"/>
      <c r="J125" s="126" t="s">
        <v>31</v>
      </c>
      <c r="K125" s="129" t="str">
        <f>IF(OR($E$104="No",$E$110="No"),"N/A","")</f>
        <v/>
      </c>
      <c r="L125" s="130">
        <f t="shared" ref="L125:L149" si="7">IF($K125="N/A",0,IF($G125="OK",0,IF(AND($J125="Accepted",NOT($H125="")),0,1)))</f>
        <v>1</v>
      </c>
      <c r="M125" s="124">
        <f t="shared" ref="M125:M149" si="8">IF($K125="N/A",0,IF(OR($E125="(select)",$E125=""),1,0))</f>
        <v>1</v>
      </c>
    </row>
    <row r="126" spans="1:13" ht="16.95" customHeight="1" x14ac:dyDescent="0.3">
      <c r="A126" s="29">
        <f>IF($K126="N/A","",MAX($A$104:$A125)+0.01)</f>
        <v>4.1499999999999968</v>
      </c>
      <c r="B126" s="192" t="s">
        <v>679</v>
      </c>
      <c r="C126" s="192"/>
      <c r="D126" s="193"/>
      <c r="E126" s="126" t="s">
        <v>31</v>
      </c>
      <c r="F126" s="127"/>
      <c r="G126" s="128" t="str">
        <f t="shared" si="6"/>
        <v/>
      </c>
      <c r="H126" s="126" t="s">
        <v>31</v>
      </c>
      <c r="I126" s="47"/>
      <c r="J126" s="126" t="s">
        <v>31</v>
      </c>
      <c r="K126" s="129" t="str">
        <f>IF(OR(OR($E$104="No",$E$107="No"),AND($E$109="No",$E$108="No",$E$109="No",$E$110="No")),"N/A","")</f>
        <v/>
      </c>
      <c r="L126" s="130">
        <f t="shared" si="7"/>
        <v>1</v>
      </c>
      <c r="M126" s="124">
        <f t="shared" si="8"/>
        <v>1</v>
      </c>
    </row>
    <row r="127" spans="1:13" ht="16.95" customHeight="1" x14ac:dyDescent="0.3">
      <c r="A127" s="29">
        <f>IF($K127="N/A","",MAX($A$104:$A126)+0.01)</f>
        <v>4.1599999999999966</v>
      </c>
      <c r="B127" s="192" t="s">
        <v>678</v>
      </c>
      <c r="C127" s="192"/>
      <c r="D127" s="193"/>
      <c r="E127" s="126" t="s">
        <v>31</v>
      </c>
      <c r="F127" s="127"/>
      <c r="G127" s="128" t="str">
        <f t="shared" si="6"/>
        <v/>
      </c>
      <c r="H127" s="126" t="s">
        <v>31</v>
      </c>
      <c r="I127" s="47"/>
      <c r="J127" s="126" t="s">
        <v>31</v>
      </c>
      <c r="K127" s="129" t="str">
        <f>IF(OR(OR($E$104="No",$E$106="No"),AND($E$109="No",$E$108="No",$E$109="No",$E$110="No")),"N/A","")</f>
        <v/>
      </c>
      <c r="L127" s="130">
        <f t="shared" si="7"/>
        <v>1</v>
      </c>
      <c r="M127" s="124">
        <f t="shared" si="8"/>
        <v>1</v>
      </c>
    </row>
    <row r="128" spans="1:13" ht="16.95" customHeight="1" x14ac:dyDescent="0.3">
      <c r="A128" s="29">
        <f>IF($K128="N/A","",MAX($A$104:$A127)+0.01)</f>
        <v>4.1699999999999964</v>
      </c>
      <c r="B128" s="192" t="s">
        <v>1146</v>
      </c>
      <c r="C128" s="192"/>
      <c r="D128" s="193"/>
      <c r="E128" s="126" t="s">
        <v>31</v>
      </c>
      <c r="F128" s="127"/>
      <c r="G128" s="128" t="str">
        <f>IF($K128="N/A","",IF($E128="Yes","OK",IF($E128="(select)","","Warning!")))</f>
        <v/>
      </c>
      <c r="H128" s="126" t="s">
        <v>31</v>
      </c>
      <c r="I128" s="47"/>
      <c r="J128" s="126" t="s">
        <v>31</v>
      </c>
      <c r="K128" s="129" t="str">
        <f>IF(AND($E$109="No",$E$108="No",$E$109="No",$E$110="No"),"N/A","")</f>
        <v/>
      </c>
      <c r="L128" s="130">
        <f t="shared" si="7"/>
        <v>1</v>
      </c>
      <c r="M128" s="124">
        <f t="shared" si="8"/>
        <v>1</v>
      </c>
    </row>
    <row r="129" spans="1:13" ht="16.95" customHeight="1" x14ac:dyDescent="0.3">
      <c r="A129" s="29">
        <f>IF($K129="N/A","",MAX($A$104:$A128)+0.01)</f>
        <v>4.1799999999999962</v>
      </c>
      <c r="B129" s="192" t="s">
        <v>916</v>
      </c>
      <c r="C129" s="192"/>
      <c r="D129" s="193"/>
      <c r="E129" s="126" t="s">
        <v>31</v>
      </c>
      <c r="F129" s="127"/>
      <c r="G129" s="128" t="str">
        <f>IF($K129="N/A","",IF($E129="No","OK",IF($E129="(select)","","Warning!")))</f>
        <v/>
      </c>
      <c r="H129" s="126" t="s">
        <v>31</v>
      </c>
      <c r="I129" s="47"/>
      <c r="J129" s="126" t="s">
        <v>31</v>
      </c>
      <c r="K129" s="129" t="str">
        <f t="shared" ref="K129:K135" si="9">IF($E$109="No","N/A","")</f>
        <v/>
      </c>
      <c r="L129" s="130">
        <f t="shared" si="7"/>
        <v>1</v>
      </c>
      <c r="M129" s="124">
        <f t="shared" si="8"/>
        <v>1</v>
      </c>
    </row>
    <row r="130" spans="1:13" ht="16.95" customHeight="1" x14ac:dyDescent="0.3">
      <c r="A130" s="29">
        <f>IF($K130="N/A","",MAX($A$104:$A129)+0.01)</f>
        <v>4.1899999999999959</v>
      </c>
      <c r="B130" s="192" t="s">
        <v>917</v>
      </c>
      <c r="C130" s="192"/>
      <c r="D130" s="193"/>
      <c r="E130" s="126" t="s">
        <v>31</v>
      </c>
      <c r="F130" s="127"/>
      <c r="G130" s="128" t="str">
        <f t="shared" ref="G130:G135" si="10">IF($K130="N/A","",IF($E130="Yes","OK",IF($E130="(select)","","Warning!")))</f>
        <v/>
      </c>
      <c r="H130" s="126" t="s">
        <v>31</v>
      </c>
      <c r="I130" s="47"/>
      <c r="J130" s="126" t="s">
        <v>31</v>
      </c>
      <c r="K130" s="129" t="str">
        <f t="shared" si="9"/>
        <v/>
      </c>
      <c r="L130" s="130">
        <f t="shared" si="7"/>
        <v>1</v>
      </c>
      <c r="M130" s="124">
        <f t="shared" si="8"/>
        <v>1</v>
      </c>
    </row>
    <row r="131" spans="1:13" ht="16.95" customHeight="1" x14ac:dyDescent="0.3">
      <c r="A131" s="29">
        <f>IF($K131="N/A","",MAX($A$104:$A130)+0.01)</f>
        <v>4.1999999999999957</v>
      </c>
      <c r="B131" s="192" t="s">
        <v>1148</v>
      </c>
      <c r="C131" s="192"/>
      <c r="D131" s="193"/>
      <c r="E131" s="126" t="s">
        <v>31</v>
      </c>
      <c r="F131" s="127"/>
      <c r="G131" s="128" t="str">
        <f>IF($K131="N/A","",IF($E131="Yes","OK",IF($E131="(select)","","Warning!")))</f>
        <v/>
      </c>
      <c r="H131" s="126" t="s">
        <v>31</v>
      </c>
      <c r="I131" s="47"/>
      <c r="J131" s="126" t="s">
        <v>31</v>
      </c>
      <c r="K131" s="129" t="str">
        <f t="shared" si="9"/>
        <v/>
      </c>
      <c r="L131" s="130">
        <f t="shared" si="7"/>
        <v>1</v>
      </c>
      <c r="M131" s="124">
        <f t="shared" si="8"/>
        <v>1</v>
      </c>
    </row>
    <row r="132" spans="1:13" ht="16.95" customHeight="1" x14ac:dyDescent="0.3">
      <c r="A132" s="29">
        <f>IF($K132="N/A","",MAX($A$104:$A131)+0.01)</f>
        <v>4.2099999999999955</v>
      </c>
      <c r="B132" s="192" t="s">
        <v>744</v>
      </c>
      <c r="C132" s="192"/>
      <c r="D132" s="193"/>
      <c r="E132" s="126" t="s">
        <v>31</v>
      </c>
      <c r="F132" s="127"/>
      <c r="G132" s="128" t="str">
        <f>IF($K132="N/A","",IF($E132="Yes","OK",IF($E132="(select)","","Warning!")))</f>
        <v/>
      </c>
      <c r="H132" s="126" t="s">
        <v>31</v>
      </c>
      <c r="I132" s="47"/>
      <c r="J132" s="126" t="s">
        <v>31</v>
      </c>
      <c r="K132" s="129" t="str">
        <f t="shared" si="9"/>
        <v/>
      </c>
      <c r="L132" s="130">
        <f t="shared" si="7"/>
        <v>1</v>
      </c>
      <c r="M132" s="124">
        <f t="shared" si="8"/>
        <v>1</v>
      </c>
    </row>
    <row r="133" spans="1:13" ht="16.95" customHeight="1" x14ac:dyDescent="0.3">
      <c r="A133" s="29">
        <f>IF($K133="N/A","",MAX($A$104:$A132)+0.01)</f>
        <v>4.2199999999999953</v>
      </c>
      <c r="B133" s="192" t="s">
        <v>675</v>
      </c>
      <c r="C133" s="192"/>
      <c r="D133" s="193"/>
      <c r="E133" s="126" t="s">
        <v>31</v>
      </c>
      <c r="F133" s="127"/>
      <c r="G133" s="128" t="str">
        <f t="shared" si="10"/>
        <v/>
      </c>
      <c r="H133" s="126" t="s">
        <v>31</v>
      </c>
      <c r="I133" s="47"/>
      <c r="J133" s="126" t="s">
        <v>31</v>
      </c>
      <c r="K133" s="129" t="str">
        <f t="shared" si="9"/>
        <v/>
      </c>
      <c r="L133" s="130">
        <f t="shared" si="7"/>
        <v>1</v>
      </c>
      <c r="M133" s="124">
        <f t="shared" si="8"/>
        <v>1</v>
      </c>
    </row>
    <row r="134" spans="1:13" ht="16.95" customHeight="1" x14ac:dyDescent="0.3">
      <c r="A134" s="29">
        <f>IF($K134="N/A","",MAX($A$104:$A133)+0.01)</f>
        <v>4.2299999999999951</v>
      </c>
      <c r="B134" s="192" t="s">
        <v>676</v>
      </c>
      <c r="C134" s="192"/>
      <c r="D134" s="193"/>
      <c r="E134" s="126" t="s">
        <v>31</v>
      </c>
      <c r="F134" s="127"/>
      <c r="G134" s="128" t="str">
        <f t="shared" si="10"/>
        <v/>
      </c>
      <c r="H134" s="126" t="s">
        <v>31</v>
      </c>
      <c r="I134" s="47"/>
      <c r="J134" s="126" t="s">
        <v>31</v>
      </c>
      <c r="K134" s="129" t="str">
        <f t="shared" si="9"/>
        <v/>
      </c>
      <c r="L134" s="130">
        <f t="shared" si="7"/>
        <v>1</v>
      </c>
      <c r="M134" s="124">
        <f t="shared" si="8"/>
        <v>1</v>
      </c>
    </row>
    <row r="135" spans="1:13" ht="16.95" customHeight="1" x14ac:dyDescent="0.3">
      <c r="A135" s="29">
        <f>IF($K135="N/A","",MAX($A$104:$A134)+0.01)</f>
        <v>4.2399999999999949</v>
      </c>
      <c r="B135" s="192" t="s">
        <v>715</v>
      </c>
      <c r="C135" s="192"/>
      <c r="D135" s="193"/>
      <c r="E135" s="126" t="s">
        <v>31</v>
      </c>
      <c r="F135" s="127"/>
      <c r="G135" s="128" t="str">
        <f t="shared" si="10"/>
        <v/>
      </c>
      <c r="H135" s="126" t="s">
        <v>31</v>
      </c>
      <c r="I135" s="47"/>
      <c r="J135" s="126" t="s">
        <v>31</v>
      </c>
      <c r="K135" s="129" t="str">
        <f t="shared" si="9"/>
        <v/>
      </c>
      <c r="L135" s="130">
        <f t="shared" si="7"/>
        <v>1</v>
      </c>
      <c r="M135" s="124">
        <f t="shared" si="8"/>
        <v>1</v>
      </c>
    </row>
    <row r="136" spans="1:13" ht="16.95" customHeight="1" x14ac:dyDescent="0.3">
      <c r="A136" s="29">
        <f>IF($K136="N/A","",MAX($A$104:$A135)+0.01)</f>
        <v>4.2499999999999947</v>
      </c>
      <c r="B136" s="192" t="s">
        <v>1153</v>
      </c>
      <c r="C136" s="192"/>
      <c r="D136" s="193"/>
      <c r="E136" s="126" t="s">
        <v>31</v>
      </c>
      <c r="F136" s="127"/>
      <c r="G136" s="128" t="str">
        <f t="shared" si="6"/>
        <v/>
      </c>
      <c r="H136" s="126" t="s">
        <v>31</v>
      </c>
      <c r="I136" s="47"/>
      <c r="J136" s="126" t="s">
        <v>31</v>
      </c>
      <c r="K136" s="129"/>
      <c r="L136" s="130">
        <f t="shared" si="7"/>
        <v>1</v>
      </c>
      <c r="M136" s="124">
        <f t="shared" si="8"/>
        <v>1</v>
      </c>
    </row>
    <row r="137" spans="1:13" ht="16.95" customHeight="1" x14ac:dyDescent="0.3">
      <c r="A137" s="29">
        <f>IF($K137="N/A","",MAX($A$104:$A136)+0.01)</f>
        <v>4.2599999999999945</v>
      </c>
      <c r="B137" s="192" t="s">
        <v>713</v>
      </c>
      <c r="C137" s="192"/>
      <c r="D137" s="193"/>
      <c r="E137" s="126" t="s">
        <v>31</v>
      </c>
      <c r="F137" s="127"/>
      <c r="G137" s="128" t="str">
        <f t="shared" si="6"/>
        <v/>
      </c>
      <c r="H137" s="126" t="s">
        <v>31</v>
      </c>
      <c r="I137" s="131"/>
      <c r="J137" s="126" t="s">
        <v>31</v>
      </c>
      <c r="K137" s="129"/>
      <c r="L137" s="130">
        <f t="shared" si="7"/>
        <v>1</v>
      </c>
      <c r="M137" s="124">
        <f t="shared" si="8"/>
        <v>1</v>
      </c>
    </row>
    <row r="138" spans="1:13" ht="16.95" customHeight="1" x14ac:dyDescent="0.3">
      <c r="A138" s="29">
        <f>IF($K138="N/A","",MAX($A$104:$A137)+0.01)</f>
        <v>4.2699999999999942</v>
      </c>
      <c r="B138" s="192" t="s">
        <v>1156</v>
      </c>
      <c r="C138" s="192"/>
      <c r="D138" s="193"/>
      <c r="E138" s="126" t="s">
        <v>31</v>
      </c>
      <c r="F138" s="127"/>
      <c r="G138" s="128" t="str">
        <f>IF($K138="N/A","",IF($E138="No","OK",IF($E138="(select)","","Warning!")))</f>
        <v/>
      </c>
      <c r="H138" s="126" t="s">
        <v>31</v>
      </c>
      <c r="I138" s="131"/>
      <c r="J138" s="126" t="s">
        <v>31</v>
      </c>
      <c r="K138" s="129"/>
      <c r="L138" s="130">
        <f t="shared" si="7"/>
        <v>1</v>
      </c>
      <c r="M138" s="124">
        <f t="shared" si="8"/>
        <v>1</v>
      </c>
    </row>
    <row r="139" spans="1:13" ht="16.95" customHeight="1" x14ac:dyDescent="0.3">
      <c r="A139" s="29">
        <f>IF($K139="N/A","",MAX($A$104:$A138)+0.01)</f>
        <v>4.279999999999994</v>
      </c>
      <c r="B139" s="192" t="s">
        <v>699</v>
      </c>
      <c r="C139" s="192"/>
      <c r="D139" s="193"/>
      <c r="E139" s="126" t="s">
        <v>31</v>
      </c>
      <c r="F139" s="127"/>
      <c r="G139" s="128" t="str">
        <f t="shared" si="6"/>
        <v/>
      </c>
      <c r="H139" s="126" t="s">
        <v>31</v>
      </c>
      <c r="I139" s="131"/>
      <c r="J139" s="126" t="s">
        <v>31</v>
      </c>
      <c r="K139" s="129"/>
      <c r="L139" s="130">
        <f t="shared" si="7"/>
        <v>1</v>
      </c>
      <c r="M139" s="124">
        <f t="shared" si="8"/>
        <v>1</v>
      </c>
    </row>
    <row r="140" spans="1:13" ht="16.95" customHeight="1" x14ac:dyDescent="0.3">
      <c r="A140" s="29">
        <f>IF($K140="N/A","",MAX($A$104:$A139)+0.01)</f>
        <v>4.2899999999999938</v>
      </c>
      <c r="B140" s="192" t="s">
        <v>712</v>
      </c>
      <c r="C140" s="192"/>
      <c r="D140" s="193"/>
      <c r="E140" s="126" t="s">
        <v>31</v>
      </c>
      <c r="F140" s="127"/>
      <c r="G140" s="128" t="str">
        <f t="shared" si="6"/>
        <v/>
      </c>
      <c r="H140" s="126" t="s">
        <v>31</v>
      </c>
      <c r="I140" s="131"/>
      <c r="J140" s="126" t="s">
        <v>31</v>
      </c>
      <c r="K140" s="129"/>
      <c r="L140" s="130">
        <f t="shared" si="7"/>
        <v>1</v>
      </c>
      <c r="M140" s="124">
        <f t="shared" si="8"/>
        <v>1</v>
      </c>
    </row>
    <row r="141" spans="1:13" ht="16.95" customHeight="1" x14ac:dyDescent="0.3">
      <c r="A141" s="29">
        <f>IF($K141="N/A","",MAX($A$104:$A140)+0.01)</f>
        <v>4.2999999999999936</v>
      </c>
      <c r="B141" s="192" t="s">
        <v>682</v>
      </c>
      <c r="C141" s="192"/>
      <c r="D141" s="193"/>
      <c r="E141" s="126" t="s">
        <v>31</v>
      </c>
      <c r="F141" s="127"/>
      <c r="G141" s="128" t="str">
        <f>IF($K141="N/A","",IF($E141="No","OK",IF($E141="(select)","","Warning!")))</f>
        <v/>
      </c>
      <c r="H141" s="126" t="s">
        <v>31</v>
      </c>
      <c r="I141" s="131"/>
      <c r="J141" s="126" t="s">
        <v>31</v>
      </c>
      <c r="K141" s="129"/>
      <c r="L141" s="130">
        <f t="shared" si="7"/>
        <v>1</v>
      </c>
      <c r="M141" s="124">
        <f t="shared" si="8"/>
        <v>1</v>
      </c>
    </row>
    <row r="142" spans="1:13" ht="16.95" customHeight="1" x14ac:dyDescent="0.3">
      <c r="A142" s="29">
        <f>IF($K142="N/A","",MAX($A$104:$A141)+0.01)</f>
        <v>4.3099999999999934</v>
      </c>
      <c r="B142" s="192" t="s">
        <v>710</v>
      </c>
      <c r="C142" s="192"/>
      <c r="D142" s="193"/>
      <c r="E142" s="126" t="s">
        <v>31</v>
      </c>
      <c r="F142" s="127"/>
      <c r="G142" s="128" t="str">
        <f>IF($K142="N/A","",IF($E142="No","OK",IF($E142="(select)","","Warning!")))</f>
        <v/>
      </c>
      <c r="H142" s="126" t="s">
        <v>31</v>
      </c>
      <c r="I142" s="131"/>
      <c r="J142" s="126" t="s">
        <v>31</v>
      </c>
      <c r="K142" s="129"/>
      <c r="L142" s="130">
        <f t="shared" si="7"/>
        <v>1</v>
      </c>
      <c r="M142" s="124">
        <f t="shared" si="8"/>
        <v>1</v>
      </c>
    </row>
    <row r="143" spans="1:13" ht="16.95" customHeight="1" x14ac:dyDescent="0.3">
      <c r="A143" s="29">
        <f>IF($K143="N/A","",MAX($A$104:$A142)+0.01)</f>
        <v>4.3199999999999932</v>
      </c>
      <c r="B143" s="192" t="s">
        <v>732</v>
      </c>
      <c r="C143" s="192"/>
      <c r="D143" s="193"/>
      <c r="E143" s="126" t="s">
        <v>31</v>
      </c>
      <c r="F143" s="127"/>
      <c r="G143" s="128" t="str">
        <f>IF($K143="N/A","",IF($E143="Yes","OK",IF($E143="(select)","","Warning!")))</f>
        <v/>
      </c>
      <c r="H143" s="126" t="s">
        <v>31</v>
      </c>
      <c r="I143" s="131"/>
      <c r="J143" s="126" t="s">
        <v>31</v>
      </c>
      <c r="K143" s="129"/>
      <c r="L143" s="130">
        <f t="shared" si="7"/>
        <v>1</v>
      </c>
      <c r="M143" s="124">
        <f t="shared" si="8"/>
        <v>1</v>
      </c>
    </row>
    <row r="144" spans="1:13" ht="16.95" customHeight="1" x14ac:dyDescent="0.3">
      <c r="A144" s="29">
        <f>IF($K144="N/A","",MAX($A$104:$A143)+0.01)</f>
        <v>4.329999999999993</v>
      </c>
      <c r="B144" s="192" t="s">
        <v>1159</v>
      </c>
      <c r="C144" s="192"/>
      <c r="D144" s="193"/>
      <c r="E144" s="126" t="s">
        <v>31</v>
      </c>
      <c r="F144" s="127"/>
      <c r="G144" s="128" t="str">
        <f t="shared" si="6"/>
        <v/>
      </c>
      <c r="H144" s="126" t="s">
        <v>31</v>
      </c>
      <c r="I144" s="131"/>
      <c r="J144" s="126" t="s">
        <v>31</v>
      </c>
      <c r="K144" s="129"/>
      <c r="L144" s="130">
        <f t="shared" si="7"/>
        <v>1</v>
      </c>
      <c r="M144" s="124">
        <f t="shared" si="8"/>
        <v>1</v>
      </c>
    </row>
    <row r="145" spans="1:13" ht="16.95" customHeight="1" x14ac:dyDescent="0.3">
      <c r="A145" s="29">
        <f>IF($K145="N/A","",MAX($A$104:$A144)+0.01)</f>
        <v>4.3399999999999928</v>
      </c>
      <c r="B145" s="192" t="s">
        <v>681</v>
      </c>
      <c r="C145" s="192"/>
      <c r="D145" s="193"/>
      <c r="E145" s="126" t="s">
        <v>31</v>
      </c>
      <c r="F145" s="127"/>
      <c r="G145" s="128" t="str">
        <f>IF($K145="N/A","",IF($E145="No","OK",IF($E145="(select)","","Warning!")))</f>
        <v/>
      </c>
      <c r="H145" s="126" t="s">
        <v>31</v>
      </c>
      <c r="I145" s="131"/>
      <c r="J145" s="126" t="s">
        <v>31</v>
      </c>
      <c r="K145" s="129"/>
      <c r="L145" s="130">
        <f t="shared" si="7"/>
        <v>1</v>
      </c>
      <c r="M145" s="124">
        <f t="shared" si="8"/>
        <v>1</v>
      </c>
    </row>
    <row r="146" spans="1:13" ht="16.95" customHeight="1" x14ac:dyDescent="0.3">
      <c r="A146" s="29">
        <f>IF($K146="N/A","",MAX($A$104:$A145)+0.01)</f>
        <v>4.3499999999999925</v>
      </c>
      <c r="B146" s="192" t="s">
        <v>714</v>
      </c>
      <c r="C146" s="192"/>
      <c r="D146" s="193"/>
      <c r="E146" s="126" t="s">
        <v>31</v>
      </c>
      <c r="F146" s="127"/>
      <c r="G146" s="128" t="str">
        <f t="shared" si="6"/>
        <v/>
      </c>
      <c r="H146" s="126" t="s">
        <v>31</v>
      </c>
      <c r="I146" s="131"/>
      <c r="J146" s="126" t="s">
        <v>31</v>
      </c>
      <c r="K146" s="129"/>
      <c r="L146" s="130">
        <f t="shared" si="7"/>
        <v>1</v>
      </c>
      <c r="M146" s="124">
        <f t="shared" si="8"/>
        <v>1</v>
      </c>
    </row>
    <row r="147" spans="1:13" ht="16.95" customHeight="1" x14ac:dyDescent="0.3">
      <c r="A147" s="29">
        <f>IF($K147="N/A","",MAX($A$104:$A146)+0.01)</f>
        <v>4.3599999999999923</v>
      </c>
      <c r="B147" s="192" t="s">
        <v>683</v>
      </c>
      <c r="C147" s="192"/>
      <c r="D147" s="193"/>
      <c r="E147" s="126" t="s">
        <v>31</v>
      </c>
      <c r="F147" s="127"/>
      <c r="G147" s="128" t="str">
        <f t="shared" si="6"/>
        <v/>
      </c>
      <c r="H147" s="126" t="s">
        <v>31</v>
      </c>
      <c r="I147" s="131"/>
      <c r="J147" s="126" t="s">
        <v>31</v>
      </c>
      <c r="K147" s="129"/>
      <c r="L147" s="130">
        <f t="shared" si="7"/>
        <v>1</v>
      </c>
      <c r="M147" s="124">
        <f t="shared" si="8"/>
        <v>1</v>
      </c>
    </row>
    <row r="148" spans="1:13" ht="16.95" customHeight="1" x14ac:dyDescent="0.3">
      <c r="A148" s="29">
        <f>IF($K148="N/A","",MAX($A$104:$A147)+0.01)</f>
        <v>4.3699999999999921</v>
      </c>
      <c r="B148" s="192" t="s">
        <v>711</v>
      </c>
      <c r="C148" s="192"/>
      <c r="D148" s="193"/>
      <c r="E148" s="126" t="s">
        <v>31</v>
      </c>
      <c r="F148" s="127"/>
      <c r="G148" s="128" t="str">
        <f t="shared" si="6"/>
        <v/>
      </c>
      <c r="H148" s="126" t="s">
        <v>31</v>
      </c>
      <c r="I148" s="131"/>
      <c r="J148" s="126" t="s">
        <v>31</v>
      </c>
      <c r="K148" s="129"/>
      <c r="L148" s="130">
        <f t="shared" si="7"/>
        <v>1</v>
      </c>
      <c r="M148" s="124">
        <f t="shared" si="8"/>
        <v>1</v>
      </c>
    </row>
    <row r="149" spans="1:13" ht="16.95" customHeight="1" x14ac:dyDescent="0.3">
      <c r="A149" s="29">
        <f>IF($K149="N/A","",MAX($A$104:$A148)+0.01)</f>
        <v>4.3799999999999919</v>
      </c>
      <c r="B149" s="192" t="s">
        <v>709</v>
      </c>
      <c r="C149" s="192"/>
      <c r="D149" s="193"/>
      <c r="E149" s="126" t="s">
        <v>31</v>
      </c>
      <c r="F149" s="127"/>
      <c r="G149" s="128" t="str">
        <f>IF($K149="N/A","",IF($E149="No","OK",IF($E149="(select)","","Warning!")))</f>
        <v/>
      </c>
      <c r="H149" s="126" t="s">
        <v>31</v>
      </c>
      <c r="I149" s="131"/>
      <c r="J149" s="126" t="s">
        <v>31</v>
      </c>
      <c r="K149" s="129"/>
      <c r="L149" s="130">
        <f t="shared" si="7"/>
        <v>1</v>
      </c>
      <c r="M149" s="124">
        <f t="shared" si="8"/>
        <v>1</v>
      </c>
    </row>
    <row r="150" spans="1:13" x14ac:dyDescent="0.3">
      <c r="L150" s="56"/>
      <c r="M150" s="56"/>
    </row>
    <row r="151" spans="1:13" x14ac:dyDescent="0.3">
      <c r="A151" s="29">
        <f>IF($K151="N/A","",MAX($A$104:$A149)+0.01)</f>
        <v>4.3899999999999917</v>
      </c>
      <c r="B151" s="192" t="s">
        <v>689</v>
      </c>
      <c r="C151" s="192"/>
      <c r="D151" s="193"/>
      <c r="E151" s="14">
        <v>3</v>
      </c>
      <c r="L151" s="56">
        <f>SUM($L$114:$L$149)</f>
        <v>32</v>
      </c>
      <c r="M151" s="56">
        <f>SUM($M$104:$M$149)</f>
        <v>39</v>
      </c>
    </row>
    <row r="152" spans="1:13" x14ac:dyDescent="0.3">
      <c r="L152" s="56"/>
      <c r="M152" s="56"/>
    </row>
    <row r="153" spans="1:13" ht="15.6" x14ac:dyDescent="0.3">
      <c r="A153" s="3" t="s">
        <v>191</v>
      </c>
      <c r="B153" s="4" t="s">
        <v>895</v>
      </c>
      <c r="K153" s="129" t="str">
        <f t="shared" ref="K153:K169" si="11">IF($E$109="No","N/A","")</f>
        <v/>
      </c>
      <c r="L153" s="56"/>
      <c r="M153" s="56"/>
    </row>
    <row r="154" spans="1:13" x14ac:dyDescent="0.3">
      <c r="K154" s="129" t="str">
        <f t="shared" si="11"/>
        <v/>
      </c>
      <c r="L154" s="56"/>
      <c r="M154" s="56"/>
    </row>
    <row r="155" spans="1:13" ht="73.8" customHeight="1" x14ac:dyDescent="0.3">
      <c r="B155" s="205" t="s">
        <v>1182</v>
      </c>
      <c r="C155" s="205"/>
      <c r="D155" s="205"/>
      <c r="E155" s="205"/>
      <c r="F155" s="205"/>
      <c r="G155" s="205"/>
      <c r="H155" s="205"/>
      <c r="K155" s="129"/>
      <c r="L155" s="56"/>
      <c r="M155" s="56"/>
    </row>
    <row r="156" spans="1:13" x14ac:dyDescent="0.3">
      <c r="K156" s="129"/>
      <c r="L156" s="56"/>
      <c r="M156" s="56"/>
    </row>
    <row r="157" spans="1:13" x14ac:dyDescent="0.3">
      <c r="A157" s="12"/>
      <c r="B157" s="208" t="s">
        <v>882</v>
      </c>
      <c r="C157" s="208"/>
      <c r="K157" s="129" t="str">
        <f t="shared" si="11"/>
        <v/>
      </c>
      <c r="L157" s="56"/>
      <c r="M157" s="56"/>
    </row>
    <row r="158" spans="1:13" x14ac:dyDescent="0.3">
      <c r="A158" s="2"/>
      <c r="B158" s="2"/>
      <c r="C158" s="2"/>
      <c r="K158" s="129" t="str">
        <f t="shared" si="11"/>
        <v/>
      </c>
      <c r="L158" s="56"/>
      <c r="M158" s="56"/>
    </row>
    <row r="159" spans="1:13" ht="14.4" customHeight="1" x14ac:dyDescent="0.3">
      <c r="A159" s="12">
        <v>5.01</v>
      </c>
      <c r="B159" s="192" t="s">
        <v>1171</v>
      </c>
      <c r="C159" s="192"/>
      <c r="D159" s="193"/>
      <c r="E159" s="126" t="s">
        <v>31</v>
      </c>
      <c r="K159" s="129" t="str">
        <f t="shared" si="11"/>
        <v/>
      </c>
      <c r="L159" s="56"/>
      <c r="M159" s="123"/>
    </row>
    <row r="160" spans="1:13" ht="14.4" customHeight="1" x14ac:dyDescent="0.3">
      <c r="A160" s="12">
        <f>MAX($A$153:$A159)+0.01</f>
        <v>5.0199999999999996</v>
      </c>
      <c r="B160" s="192" t="s">
        <v>1170</v>
      </c>
      <c r="C160" s="192"/>
      <c r="D160" s="193"/>
      <c r="E160" s="126" t="s">
        <v>31</v>
      </c>
      <c r="K160" s="129" t="str">
        <f t="shared" si="11"/>
        <v/>
      </c>
      <c r="L160" s="56"/>
      <c r="M160" s="123"/>
    </row>
    <row r="161" spans="1:13" ht="28.2" customHeight="1" x14ac:dyDescent="0.3">
      <c r="A161" s="12">
        <f>MAX($A$153:$A160)+0.01</f>
        <v>5.0299999999999994</v>
      </c>
      <c r="B161" s="192" t="s">
        <v>1174</v>
      </c>
      <c r="C161" s="192"/>
      <c r="D161" s="193"/>
      <c r="E161" s="126" t="s">
        <v>31</v>
      </c>
      <c r="K161" s="129" t="str">
        <f t="shared" si="11"/>
        <v/>
      </c>
      <c r="L161" s="56"/>
      <c r="M161" s="123"/>
    </row>
    <row r="162" spans="1:13" ht="28.2" customHeight="1" x14ac:dyDescent="0.3">
      <c r="A162" s="12">
        <f>MAX($A$153:$A161)+0.01</f>
        <v>5.0399999999999991</v>
      </c>
      <c r="B162" s="192" t="s">
        <v>880</v>
      </c>
      <c r="C162" s="192"/>
      <c r="D162" s="193"/>
      <c r="E162" s="126" t="s">
        <v>31</v>
      </c>
      <c r="K162" s="129" t="str">
        <f t="shared" si="11"/>
        <v/>
      </c>
      <c r="L162" s="56"/>
      <c r="M162" s="123"/>
    </row>
    <row r="163" spans="1:13" ht="29.4" customHeight="1" x14ac:dyDescent="0.3">
      <c r="A163" s="12">
        <f>MAX($A$153:$A162)+0.01</f>
        <v>5.0499999999999989</v>
      </c>
      <c r="B163" s="192" t="s">
        <v>1179</v>
      </c>
      <c r="C163" s="192"/>
      <c r="D163" s="193"/>
      <c r="E163" s="126" t="s">
        <v>31</v>
      </c>
      <c r="K163" s="129" t="str">
        <f t="shared" si="11"/>
        <v/>
      </c>
      <c r="L163" s="56"/>
      <c r="M163" s="123"/>
    </row>
    <row r="164" spans="1:13" ht="46.2" customHeight="1" x14ac:dyDescent="0.3">
      <c r="A164" s="12">
        <f>MAX($A$153:$A163)+0.01</f>
        <v>5.0599999999999987</v>
      </c>
      <c r="B164" s="192" t="s">
        <v>881</v>
      </c>
      <c r="C164" s="192"/>
      <c r="D164" s="193"/>
      <c r="E164" s="126" t="s">
        <v>31</v>
      </c>
      <c r="K164" s="129" t="str">
        <f t="shared" si="11"/>
        <v/>
      </c>
      <c r="L164" s="56"/>
      <c r="M164" s="123"/>
    </row>
    <row r="165" spans="1:13" ht="14.4" customHeight="1" x14ac:dyDescent="0.3">
      <c r="A165" s="12"/>
      <c r="B165" s="149"/>
      <c r="C165" s="149"/>
      <c r="D165" s="149"/>
      <c r="E165" s="149"/>
      <c r="K165" s="129" t="str">
        <f t="shared" si="11"/>
        <v/>
      </c>
      <c r="L165" s="56"/>
      <c r="M165" s="123"/>
    </row>
    <row r="166" spans="1:13" ht="14.4" customHeight="1" x14ac:dyDescent="0.3">
      <c r="A166" s="12"/>
      <c r="B166" s="192" t="s">
        <v>1578</v>
      </c>
      <c r="C166" s="192"/>
      <c r="D166" s="228" t="str">
        <f>IF(IFERROR(FIND("Yes",$E$159&amp;$E$160&amp;$E$161&amp;$E$162&amp;$E$163&amp;$E$164,TRUE),0)&gt;0,"Yes",IF(IFERROR(FIND("(select)",$E$159&amp;$E$160&amp;$E$161&amp;$E$162&amp;$E$163&amp;$E$164,TRUE),0)&gt;0,"(please make all selections above)","No"))</f>
        <v>(please make all selections above)</v>
      </c>
      <c r="E166" s="228"/>
      <c r="K166" s="129" t="str">
        <f t="shared" si="11"/>
        <v/>
      </c>
      <c r="L166" s="56"/>
      <c r="M166" s="123"/>
    </row>
    <row r="167" spans="1:13" ht="14.4" customHeight="1" x14ac:dyDescent="0.3">
      <c r="A167" s="12"/>
      <c r="B167" s="149"/>
      <c r="C167" s="149"/>
      <c r="D167" s="149"/>
      <c r="E167" s="149"/>
      <c r="K167" s="129" t="str">
        <f t="shared" si="11"/>
        <v/>
      </c>
      <c r="L167" s="56"/>
      <c r="M167" s="123"/>
    </row>
    <row r="168" spans="1:13" ht="14.4" customHeight="1" x14ac:dyDescent="0.3">
      <c r="A168" s="12"/>
      <c r="B168" s="192" t="s">
        <v>1580</v>
      </c>
      <c r="C168" s="192"/>
      <c r="D168" s="192"/>
      <c r="E168" s="187" t="s">
        <v>1579</v>
      </c>
      <c r="K168" s="129" t="str">
        <f t="shared" si="11"/>
        <v/>
      </c>
      <c r="L168" s="56"/>
      <c r="M168" s="123"/>
    </row>
    <row r="169" spans="1:13" ht="14.4" customHeight="1" x14ac:dyDescent="0.3">
      <c r="A169" s="12"/>
      <c r="B169" s="149"/>
      <c r="C169" s="149"/>
      <c r="D169" s="149"/>
      <c r="E169" s="149"/>
      <c r="K169" s="129" t="str">
        <f t="shared" si="11"/>
        <v/>
      </c>
      <c r="L169" s="56"/>
      <c r="M169" s="123"/>
    </row>
    <row r="170" spans="1:13" ht="14.4" customHeight="1" x14ac:dyDescent="0.3">
      <c r="A170" s="12"/>
      <c r="B170" s="208" t="s">
        <v>913</v>
      </c>
      <c r="C170" s="208"/>
      <c r="D170" s="159"/>
      <c r="E170" s="159"/>
      <c r="F170" s="20"/>
      <c r="G170" s="20"/>
      <c r="K170" s="154" t="str">
        <f>IF(OR($E$109="No",$E$168&lt;&gt;"Yes"),"N/A","")</f>
        <v>N/A</v>
      </c>
      <c r="L170" s="56"/>
      <c r="M170" s="123"/>
    </row>
    <row r="171" spans="1:13" ht="14.4" customHeight="1" x14ac:dyDescent="0.3">
      <c r="A171" s="12"/>
      <c r="B171" s="149"/>
      <c r="C171" s="149"/>
      <c r="D171" s="149"/>
      <c r="E171" s="149"/>
      <c r="K171" s="154" t="str">
        <f t="shared" ref="K171:K214" si="12">IF(OR($E$109="No",$E$168&lt;&gt;"Yes"),"N/A","")</f>
        <v>N/A</v>
      </c>
      <c r="L171" s="56"/>
      <c r="M171" s="123"/>
    </row>
    <row r="172" spans="1:13" ht="83.4" customHeight="1" x14ac:dyDescent="0.3">
      <c r="A172" s="12"/>
      <c r="B172" s="205" t="s">
        <v>1183</v>
      </c>
      <c r="C172" s="205"/>
      <c r="D172" s="205"/>
      <c r="E172" s="205"/>
      <c r="F172" s="205"/>
      <c r="G172" s="205"/>
      <c r="I172" s="231" t="s">
        <v>912</v>
      </c>
      <c r="J172" s="231"/>
      <c r="K172" s="154" t="str">
        <f t="shared" si="12"/>
        <v>N/A</v>
      </c>
      <c r="L172" s="56"/>
      <c r="M172" s="123"/>
    </row>
    <row r="173" spans="1:13" ht="14.4" customHeight="1" x14ac:dyDescent="0.3">
      <c r="A173" s="12"/>
      <c r="B173" s="149"/>
      <c r="C173" s="149"/>
      <c r="D173" s="149"/>
      <c r="E173" s="149"/>
      <c r="K173" s="154" t="str">
        <f t="shared" si="12"/>
        <v>N/A</v>
      </c>
      <c r="L173" s="56"/>
      <c r="M173" s="123"/>
    </row>
    <row r="174" spans="1:13" ht="46.2" customHeight="1" x14ac:dyDescent="0.3">
      <c r="A174" s="12">
        <f>MAX($A$153:$A173)+0.01</f>
        <v>5.0699999999999985</v>
      </c>
      <c r="B174" s="192" t="s">
        <v>1400</v>
      </c>
      <c r="C174" s="192"/>
      <c r="D174" s="189"/>
      <c r="E174" s="190"/>
      <c r="F174" s="190"/>
      <c r="G174" s="191"/>
      <c r="K174" s="154" t="str">
        <f t="shared" si="12"/>
        <v>N/A</v>
      </c>
      <c r="L174" s="56"/>
      <c r="M174" s="123"/>
    </row>
    <row r="175" spans="1:13" ht="14.4" customHeight="1" x14ac:dyDescent="0.3">
      <c r="A175" s="12"/>
      <c r="B175" s="149"/>
      <c r="C175" s="149"/>
      <c r="D175" s="149"/>
      <c r="E175" s="149"/>
      <c r="K175" s="154" t="str">
        <f t="shared" si="12"/>
        <v>N/A</v>
      </c>
      <c r="L175" s="56"/>
      <c r="M175" s="123"/>
    </row>
    <row r="176" spans="1:13" ht="14.4" customHeight="1" x14ac:dyDescent="0.3">
      <c r="A176" s="12"/>
      <c r="B176" s="229" t="s">
        <v>884</v>
      </c>
      <c r="C176" s="229"/>
      <c r="D176" s="150" t="s">
        <v>910</v>
      </c>
      <c r="E176" s="119" t="s">
        <v>883</v>
      </c>
      <c r="F176" s="150" t="s">
        <v>1186</v>
      </c>
      <c r="G176" s="119" t="s">
        <v>105</v>
      </c>
      <c r="H176" s="119" t="s">
        <v>885</v>
      </c>
      <c r="I176" s="230" t="s">
        <v>911</v>
      </c>
      <c r="J176" s="230"/>
      <c r="K176" s="154" t="str">
        <f t="shared" si="12"/>
        <v>N/A</v>
      </c>
      <c r="L176" s="56"/>
      <c r="M176" s="123"/>
    </row>
    <row r="177" spans="1:13" ht="13.2" customHeight="1" x14ac:dyDescent="0.3">
      <c r="A177" s="12">
        <f>MAX($A$153:$A176)+0.01</f>
        <v>5.0799999999999983</v>
      </c>
      <c r="B177" s="215" t="s">
        <v>906</v>
      </c>
      <c r="C177" s="216"/>
      <c r="D177" s="43"/>
      <c r="E177" s="151" t="s">
        <v>91</v>
      </c>
      <c r="F177" s="43"/>
      <c r="G177" s="152" t="s">
        <v>91</v>
      </c>
      <c r="H177" s="153">
        <f>IFERROR(VLOOKUP($E177,$D$203:$E$207,2,FALSE)*VLOOKUP($G177,$D$209:$E$213,2,FALSE),"")</f>
        <v>0</v>
      </c>
      <c r="I177" s="215"/>
      <c r="J177" s="216"/>
      <c r="K177" s="154" t="str">
        <f t="shared" si="12"/>
        <v>N/A</v>
      </c>
      <c r="L177" s="56"/>
      <c r="M177" s="123"/>
    </row>
    <row r="178" spans="1:13" x14ac:dyDescent="0.3">
      <c r="A178" s="12">
        <f>MAX($A$153:$A177)+0.01</f>
        <v>5.0899999999999981</v>
      </c>
      <c r="B178" s="215" t="s">
        <v>904</v>
      </c>
      <c r="C178" s="216"/>
      <c r="D178" s="43"/>
      <c r="E178" s="151" t="s">
        <v>91</v>
      </c>
      <c r="F178" s="43"/>
      <c r="G178" s="152" t="s">
        <v>91</v>
      </c>
      <c r="H178" s="153">
        <f>IFERROR(VLOOKUP($E178,$D$203:$E$207,2,FALSE)*VLOOKUP($G178,$D$209:$E$213,2,FALSE),"")</f>
        <v>0</v>
      </c>
      <c r="I178" s="215"/>
      <c r="J178" s="216"/>
      <c r="K178" s="154" t="str">
        <f t="shared" si="12"/>
        <v>N/A</v>
      </c>
      <c r="L178" s="56"/>
      <c r="M178" s="123"/>
    </row>
    <row r="179" spans="1:13" x14ac:dyDescent="0.3">
      <c r="A179" s="12">
        <f>MAX($A$153:$A178)+0.01</f>
        <v>5.0999999999999979</v>
      </c>
      <c r="B179" s="215" t="s">
        <v>905</v>
      </c>
      <c r="C179" s="216"/>
      <c r="D179" s="43"/>
      <c r="E179" s="151" t="s">
        <v>91</v>
      </c>
      <c r="F179" s="43"/>
      <c r="G179" s="152" t="s">
        <v>91</v>
      </c>
      <c r="H179" s="153">
        <f>IFERROR(VLOOKUP($E179,$D$203:$E$207,2,FALSE)*VLOOKUP($G179,$D$209:$E$213,2,FALSE),"")</f>
        <v>0</v>
      </c>
      <c r="I179" s="215"/>
      <c r="J179" s="216"/>
      <c r="K179" s="154" t="str">
        <f t="shared" si="12"/>
        <v>N/A</v>
      </c>
      <c r="L179" s="56"/>
      <c r="M179" s="123"/>
    </row>
    <row r="180" spans="1:13" x14ac:dyDescent="0.3">
      <c r="A180" s="12">
        <f>MAX($A$153:$A179)+0.01</f>
        <v>5.1099999999999977</v>
      </c>
      <c r="B180" s="215" t="s">
        <v>896</v>
      </c>
      <c r="C180" s="216"/>
      <c r="D180" s="43"/>
      <c r="E180" s="151" t="s">
        <v>91</v>
      </c>
      <c r="F180" s="43"/>
      <c r="G180" s="152" t="s">
        <v>91</v>
      </c>
      <c r="H180" s="153">
        <f>IFERROR(VLOOKUP($E180,$D$203:$E$207,2,FALSE)*VLOOKUP($G180,$D$209:$E$213,2,FALSE),"")</f>
        <v>0</v>
      </c>
      <c r="I180" s="215"/>
      <c r="J180" s="216"/>
      <c r="K180" s="154" t="str">
        <f t="shared" si="12"/>
        <v>N/A</v>
      </c>
      <c r="L180" s="56"/>
      <c r="M180" s="123"/>
    </row>
    <row r="181" spans="1:13" ht="14.4" customHeight="1" x14ac:dyDescent="0.3">
      <c r="A181" s="12">
        <f>MAX($A$153:$A180)+0.01</f>
        <v>5.1199999999999974</v>
      </c>
      <c r="B181" s="215" t="s">
        <v>897</v>
      </c>
      <c r="C181" s="216"/>
      <c r="D181" s="43"/>
      <c r="E181" s="151" t="s">
        <v>91</v>
      </c>
      <c r="F181" s="43"/>
      <c r="G181" s="152" t="s">
        <v>91</v>
      </c>
      <c r="H181" s="153">
        <f t="shared" ref="H181:H189" si="13">IFERROR(VLOOKUP($E181,$D$203:$E$207,2,FALSE)*VLOOKUP($G181,$D$209:$E$213,2,FALSE),"")</f>
        <v>0</v>
      </c>
      <c r="I181" s="215"/>
      <c r="J181" s="216"/>
      <c r="K181" s="154" t="str">
        <f t="shared" si="12"/>
        <v>N/A</v>
      </c>
      <c r="L181" s="56"/>
      <c r="M181" s="123"/>
    </row>
    <row r="182" spans="1:13" ht="14.4" customHeight="1" x14ac:dyDescent="0.3">
      <c r="A182" s="12">
        <f>MAX($A$153:$A181)+0.01</f>
        <v>5.1299999999999972</v>
      </c>
      <c r="B182" s="215" t="s">
        <v>907</v>
      </c>
      <c r="C182" s="216"/>
      <c r="D182" s="43"/>
      <c r="E182" s="151" t="s">
        <v>91</v>
      </c>
      <c r="F182" s="43"/>
      <c r="G182" s="152" t="s">
        <v>91</v>
      </c>
      <c r="H182" s="153">
        <f t="shared" si="13"/>
        <v>0</v>
      </c>
      <c r="I182" s="215"/>
      <c r="J182" s="216"/>
      <c r="K182" s="154" t="str">
        <f t="shared" si="12"/>
        <v>N/A</v>
      </c>
      <c r="L182" s="56"/>
      <c r="M182" s="123"/>
    </row>
    <row r="183" spans="1:13" ht="14.4" customHeight="1" x14ac:dyDescent="0.3">
      <c r="A183" s="12">
        <f>MAX($A$153:$A182)+0.01</f>
        <v>5.139999999999997</v>
      </c>
      <c r="B183" s="215" t="s">
        <v>908</v>
      </c>
      <c r="C183" s="216"/>
      <c r="D183" s="43"/>
      <c r="E183" s="151" t="s">
        <v>91</v>
      </c>
      <c r="F183" s="43"/>
      <c r="G183" s="152" t="s">
        <v>91</v>
      </c>
      <c r="H183" s="153">
        <f t="shared" si="13"/>
        <v>0</v>
      </c>
      <c r="I183" s="215"/>
      <c r="J183" s="216"/>
      <c r="K183" s="154" t="str">
        <f t="shared" si="12"/>
        <v>N/A</v>
      </c>
      <c r="L183" s="56"/>
      <c r="M183" s="123"/>
    </row>
    <row r="184" spans="1:13" ht="14.4" customHeight="1" x14ac:dyDescent="0.3">
      <c r="A184" s="12">
        <f>MAX($A$153:$A183)+0.01</f>
        <v>5.1499999999999968</v>
      </c>
      <c r="B184" s="215" t="s">
        <v>900</v>
      </c>
      <c r="C184" s="216"/>
      <c r="D184" s="43"/>
      <c r="E184" s="151" t="s">
        <v>91</v>
      </c>
      <c r="F184" s="43"/>
      <c r="G184" s="152" t="s">
        <v>91</v>
      </c>
      <c r="H184" s="153">
        <f t="shared" si="13"/>
        <v>0</v>
      </c>
      <c r="I184" s="215"/>
      <c r="J184" s="216"/>
      <c r="K184" s="154" t="str">
        <f t="shared" si="12"/>
        <v>N/A</v>
      </c>
      <c r="L184" s="56"/>
      <c r="M184" s="123"/>
    </row>
    <row r="185" spans="1:13" ht="14.4" customHeight="1" x14ac:dyDescent="0.3">
      <c r="A185" s="12">
        <f>MAX($A$153:$A184)+0.01</f>
        <v>5.1599999999999966</v>
      </c>
      <c r="B185" s="215" t="s">
        <v>901</v>
      </c>
      <c r="C185" s="216"/>
      <c r="D185" s="43"/>
      <c r="E185" s="151" t="s">
        <v>91</v>
      </c>
      <c r="F185" s="43"/>
      <c r="G185" s="152" t="s">
        <v>91</v>
      </c>
      <c r="H185" s="153">
        <f t="shared" si="13"/>
        <v>0</v>
      </c>
      <c r="I185" s="215"/>
      <c r="J185" s="216"/>
      <c r="K185" s="154" t="str">
        <f t="shared" si="12"/>
        <v>N/A</v>
      </c>
      <c r="L185" s="56"/>
      <c r="M185" s="123"/>
    </row>
    <row r="186" spans="1:13" ht="14.4" customHeight="1" x14ac:dyDescent="0.3">
      <c r="A186" s="12">
        <f>MAX($A$153:$A185)+0.01</f>
        <v>5.1699999999999964</v>
      </c>
      <c r="B186" s="215" t="s">
        <v>890</v>
      </c>
      <c r="C186" s="216"/>
      <c r="D186" s="43"/>
      <c r="E186" s="151" t="s">
        <v>91</v>
      </c>
      <c r="F186" s="43"/>
      <c r="G186" s="152" t="s">
        <v>91</v>
      </c>
      <c r="H186" s="153">
        <f t="shared" si="13"/>
        <v>0</v>
      </c>
      <c r="I186" s="215"/>
      <c r="J186" s="216"/>
      <c r="K186" s="154" t="str">
        <f t="shared" si="12"/>
        <v>N/A</v>
      </c>
      <c r="L186" s="56"/>
      <c r="M186" s="123"/>
    </row>
    <row r="187" spans="1:13" ht="14.4" customHeight="1" x14ac:dyDescent="0.3">
      <c r="A187" s="12">
        <f>MAX($A$153:$A186)+0.01</f>
        <v>5.1799999999999962</v>
      </c>
      <c r="B187" s="215" t="s">
        <v>902</v>
      </c>
      <c r="C187" s="216"/>
      <c r="D187" s="43"/>
      <c r="E187" s="151" t="s">
        <v>91</v>
      </c>
      <c r="F187" s="43"/>
      <c r="G187" s="152" t="s">
        <v>91</v>
      </c>
      <c r="H187" s="153">
        <f t="shared" si="13"/>
        <v>0</v>
      </c>
      <c r="I187" s="215"/>
      <c r="J187" s="216"/>
      <c r="K187" s="154" t="str">
        <f t="shared" si="12"/>
        <v>N/A</v>
      </c>
      <c r="L187" s="56"/>
      <c r="M187" s="123"/>
    </row>
    <row r="188" spans="1:13" x14ac:dyDescent="0.3">
      <c r="A188" s="12">
        <f>MAX($A$153:$A187)+0.01</f>
        <v>5.1899999999999959</v>
      </c>
      <c r="B188" s="215" t="s">
        <v>903</v>
      </c>
      <c r="C188" s="216"/>
      <c r="D188" s="43"/>
      <c r="E188" s="151" t="s">
        <v>91</v>
      </c>
      <c r="F188" s="43"/>
      <c r="G188" s="152" t="s">
        <v>91</v>
      </c>
      <c r="H188" s="153">
        <f t="shared" si="13"/>
        <v>0</v>
      </c>
      <c r="I188" s="215"/>
      <c r="J188" s="216"/>
      <c r="K188" s="154" t="str">
        <f t="shared" si="12"/>
        <v>N/A</v>
      </c>
      <c r="L188" s="56"/>
      <c r="M188" s="123"/>
    </row>
    <row r="189" spans="1:13" x14ac:dyDescent="0.3">
      <c r="A189" s="12">
        <f>MAX($A$153:$A188)+0.01</f>
        <v>5.1999999999999957</v>
      </c>
      <c r="B189" s="215" t="s">
        <v>909</v>
      </c>
      <c r="C189" s="216"/>
      <c r="D189" s="43"/>
      <c r="E189" s="151" t="s">
        <v>91</v>
      </c>
      <c r="F189" s="43"/>
      <c r="G189" s="152" t="s">
        <v>91</v>
      </c>
      <c r="H189" s="153">
        <f t="shared" si="13"/>
        <v>0</v>
      </c>
      <c r="I189" s="215"/>
      <c r="J189" s="216"/>
      <c r="K189" s="154" t="str">
        <f t="shared" si="12"/>
        <v>N/A</v>
      </c>
      <c r="L189" s="56"/>
      <c r="M189" s="123"/>
    </row>
    <row r="190" spans="1:13" ht="14.4" customHeight="1" x14ac:dyDescent="0.3">
      <c r="A190" s="12">
        <f>MAX($A$153:$A189)+0.01</f>
        <v>5.2099999999999955</v>
      </c>
      <c r="B190" s="215" t="s">
        <v>898</v>
      </c>
      <c r="C190" s="216"/>
      <c r="D190" s="43"/>
      <c r="E190" s="151" t="s">
        <v>91</v>
      </c>
      <c r="F190" s="43"/>
      <c r="G190" s="152" t="s">
        <v>91</v>
      </c>
      <c r="H190" s="153">
        <f t="shared" ref="H190:H195" si="14">IFERROR(VLOOKUP($E190,$D$203:$E$207,2,FALSE)*VLOOKUP($G190,$D$209:$E$213,2,FALSE),"")</f>
        <v>0</v>
      </c>
      <c r="I190" s="215"/>
      <c r="J190" s="216"/>
      <c r="K190" s="154" t="str">
        <f t="shared" si="12"/>
        <v>N/A</v>
      </c>
      <c r="L190" s="56"/>
      <c r="M190" s="123"/>
    </row>
    <row r="191" spans="1:13" ht="14.4" customHeight="1" x14ac:dyDescent="0.3">
      <c r="A191" s="12">
        <f>MAX($A$153:$A190)+0.01</f>
        <v>5.2199999999999953</v>
      </c>
      <c r="B191" s="215" t="s">
        <v>1202</v>
      </c>
      <c r="C191" s="216"/>
      <c r="D191" s="43"/>
      <c r="E191" s="151" t="s">
        <v>91</v>
      </c>
      <c r="F191" s="43"/>
      <c r="G191" s="152" t="s">
        <v>91</v>
      </c>
      <c r="H191" s="153">
        <f t="shared" si="14"/>
        <v>0</v>
      </c>
      <c r="I191" s="215"/>
      <c r="J191" s="216"/>
      <c r="K191" s="154" t="str">
        <f t="shared" si="12"/>
        <v>N/A</v>
      </c>
      <c r="L191" s="56"/>
      <c r="M191" s="123"/>
    </row>
    <row r="192" spans="1:13" x14ac:dyDescent="0.3">
      <c r="A192" s="12">
        <f>MAX($A$153:$A191)+0.01</f>
        <v>5.2299999999999951</v>
      </c>
      <c r="B192" s="215" t="s">
        <v>899</v>
      </c>
      <c r="C192" s="216"/>
      <c r="D192" s="43"/>
      <c r="E192" s="151" t="s">
        <v>91</v>
      </c>
      <c r="F192" s="43"/>
      <c r="G192" s="152" t="s">
        <v>91</v>
      </c>
      <c r="H192" s="153">
        <f t="shared" si="14"/>
        <v>0</v>
      </c>
      <c r="I192" s="215"/>
      <c r="J192" s="216"/>
      <c r="K192" s="154" t="str">
        <f t="shared" si="12"/>
        <v>N/A</v>
      </c>
      <c r="L192" s="56"/>
      <c r="M192" s="123"/>
    </row>
    <row r="193" spans="1:13" ht="14.4" customHeight="1" x14ac:dyDescent="0.3">
      <c r="A193" s="12">
        <f>MAX($A$153:$A192)+0.01</f>
        <v>5.2399999999999949</v>
      </c>
      <c r="B193" s="215"/>
      <c r="C193" s="216"/>
      <c r="D193" s="43"/>
      <c r="E193" s="151" t="s">
        <v>91</v>
      </c>
      <c r="F193" s="43"/>
      <c r="G193" s="152" t="s">
        <v>91</v>
      </c>
      <c r="H193" s="153">
        <f t="shared" si="14"/>
        <v>0</v>
      </c>
      <c r="I193" s="215"/>
      <c r="J193" s="216"/>
      <c r="K193" s="154" t="str">
        <f t="shared" si="12"/>
        <v>N/A</v>
      </c>
      <c r="L193" s="56"/>
      <c r="M193" s="123"/>
    </row>
    <row r="194" spans="1:13" ht="14.4" customHeight="1" x14ac:dyDescent="0.3">
      <c r="A194" s="12">
        <f>MAX($A$153:$A193)+0.01</f>
        <v>5.2499999999999947</v>
      </c>
      <c r="B194" s="215"/>
      <c r="C194" s="216"/>
      <c r="D194" s="43"/>
      <c r="E194" s="151" t="s">
        <v>91</v>
      </c>
      <c r="F194" s="43"/>
      <c r="G194" s="152" t="s">
        <v>91</v>
      </c>
      <c r="H194" s="153">
        <f t="shared" si="14"/>
        <v>0</v>
      </c>
      <c r="I194" s="215"/>
      <c r="J194" s="216"/>
      <c r="K194" s="154" t="str">
        <f t="shared" si="12"/>
        <v>N/A</v>
      </c>
      <c r="L194" s="56"/>
      <c r="M194" s="123"/>
    </row>
    <row r="195" spans="1:13" x14ac:dyDescent="0.3">
      <c r="A195" s="12">
        <f>MAX($A$153:$A194)+0.01</f>
        <v>5.2599999999999945</v>
      </c>
      <c r="B195" s="215"/>
      <c r="C195" s="216"/>
      <c r="D195" s="43"/>
      <c r="E195" s="151" t="s">
        <v>91</v>
      </c>
      <c r="F195" s="43"/>
      <c r="G195" s="152" t="s">
        <v>91</v>
      </c>
      <c r="H195" s="153">
        <f t="shared" si="14"/>
        <v>0</v>
      </c>
      <c r="I195" s="215"/>
      <c r="J195" s="216"/>
      <c r="K195" s="154" t="str">
        <f t="shared" si="12"/>
        <v>N/A</v>
      </c>
      <c r="L195" s="56"/>
      <c r="M195" s="123"/>
    </row>
    <row r="196" spans="1:13" x14ac:dyDescent="0.3">
      <c r="K196" s="154" t="str">
        <f t="shared" si="12"/>
        <v>N/A</v>
      </c>
      <c r="L196" s="56"/>
      <c r="M196" s="123"/>
    </row>
    <row r="197" spans="1:13" x14ac:dyDescent="0.3">
      <c r="B197" t="s">
        <v>888</v>
      </c>
      <c r="D197" s="225" t="str">
        <f>IF(COUNTIF($H$177:$H$195,"&gt;="&amp;$H$207)&gt;0,"You cannot continue with high residual risks; contact your 2nd line to discuss the way forward",IF(COUNTIF($H$177:$H$195,"&gt;="&amp;$H$206)&gt;0,"You still have medium risks; consider more mitigating measures before proceeding","You are ok and can proceed (once you have completed all of the above)"))</f>
        <v>You are ok and can proceed (once you have completed all of the above)</v>
      </c>
      <c r="E197" s="225"/>
      <c r="F197" s="225"/>
      <c r="K197" s="154" t="str">
        <f t="shared" si="12"/>
        <v>N/A</v>
      </c>
      <c r="L197" s="56"/>
      <c r="M197" s="123"/>
    </row>
    <row r="198" spans="1:13" x14ac:dyDescent="0.3">
      <c r="K198" s="154" t="str">
        <f t="shared" si="12"/>
        <v>N/A</v>
      </c>
      <c r="L198" s="56"/>
      <c r="M198" s="123"/>
    </row>
    <row r="199" spans="1:13" ht="30" customHeight="1" x14ac:dyDescent="0.3">
      <c r="B199" s="192" t="s">
        <v>889</v>
      </c>
      <c r="C199" s="193"/>
      <c r="D199" s="189"/>
      <c r="E199" s="190"/>
      <c r="F199" s="190"/>
      <c r="G199" s="190"/>
      <c r="H199" s="190"/>
      <c r="I199" s="190"/>
      <c r="J199" s="190"/>
      <c r="K199" s="154" t="str">
        <f t="shared" si="12"/>
        <v>N/A</v>
      </c>
      <c r="L199" s="56"/>
      <c r="M199" s="123"/>
    </row>
    <row r="200" spans="1:13" x14ac:dyDescent="0.3">
      <c r="K200" s="154" t="str">
        <f t="shared" si="12"/>
        <v>N/A</v>
      </c>
      <c r="L200" s="56"/>
      <c r="M200" s="123"/>
    </row>
    <row r="201" spans="1:13" x14ac:dyDescent="0.3">
      <c r="B201" s="7" t="s">
        <v>894</v>
      </c>
      <c r="K201" s="154" t="str">
        <f t="shared" si="12"/>
        <v>N/A</v>
      </c>
      <c r="L201" s="56"/>
      <c r="M201" s="123"/>
    </row>
    <row r="202" spans="1:13" x14ac:dyDescent="0.3">
      <c r="K202" s="154" t="str">
        <f t="shared" si="12"/>
        <v>N/A</v>
      </c>
      <c r="L202" s="56"/>
      <c r="M202" s="123"/>
    </row>
    <row r="203" spans="1:13" x14ac:dyDescent="0.3">
      <c r="B203" s="7" t="s">
        <v>887</v>
      </c>
      <c r="C203" s="7"/>
      <c r="D203" s="156" t="s">
        <v>91</v>
      </c>
      <c r="E203" s="157" t="s">
        <v>92</v>
      </c>
      <c r="F203" s="95"/>
      <c r="G203" s="160" t="s">
        <v>923</v>
      </c>
      <c r="H203" s="108">
        <v>3</v>
      </c>
      <c r="I203" s="7" t="s">
        <v>924</v>
      </c>
      <c r="J203" s="7"/>
      <c r="K203" s="154" t="str">
        <f t="shared" si="12"/>
        <v>N/A</v>
      </c>
      <c r="L203" s="56"/>
      <c r="M203" s="123"/>
    </row>
    <row r="204" spans="1:13" x14ac:dyDescent="0.3">
      <c r="B204" s="7"/>
      <c r="C204" s="7"/>
      <c r="D204" s="156" t="s">
        <v>43</v>
      </c>
      <c r="E204" s="157" t="s">
        <v>93</v>
      </c>
      <c r="F204" s="95"/>
      <c r="G204" s="7"/>
      <c r="H204" s="7"/>
      <c r="I204" s="7"/>
      <c r="J204" s="7"/>
      <c r="K204" s="154" t="str">
        <f t="shared" si="12"/>
        <v>N/A</v>
      </c>
      <c r="L204" s="56"/>
      <c r="M204" s="123"/>
    </row>
    <row r="205" spans="1:13" x14ac:dyDescent="0.3">
      <c r="B205" s="7"/>
      <c r="C205" s="7"/>
      <c r="D205" s="156" t="s">
        <v>42</v>
      </c>
      <c r="E205" s="157">
        <v>2</v>
      </c>
      <c r="F205" s="95"/>
      <c r="G205" s="7"/>
      <c r="H205" s="7"/>
      <c r="I205" s="7"/>
      <c r="J205" s="7"/>
      <c r="K205" s="154" t="str">
        <f t="shared" si="12"/>
        <v>N/A</v>
      </c>
      <c r="L205" s="56"/>
      <c r="M205" s="123"/>
    </row>
    <row r="206" spans="1:13" x14ac:dyDescent="0.3">
      <c r="B206" s="7"/>
      <c r="C206" s="7"/>
      <c r="D206" s="156" t="s">
        <v>44</v>
      </c>
      <c r="E206" s="157">
        <v>3</v>
      </c>
      <c r="F206" s="95"/>
      <c r="G206" s="24" t="s">
        <v>891</v>
      </c>
      <c r="H206" s="108">
        <v>5</v>
      </c>
      <c r="I206" s="55" t="s">
        <v>893</v>
      </c>
      <c r="J206" s="7"/>
      <c r="K206" s="154" t="str">
        <f t="shared" si="12"/>
        <v>N/A</v>
      </c>
      <c r="L206" s="56"/>
      <c r="M206" s="123"/>
    </row>
    <row r="207" spans="1:13" x14ac:dyDescent="0.3">
      <c r="B207" s="7"/>
      <c r="C207" s="7"/>
      <c r="D207" s="156" t="s">
        <v>45</v>
      </c>
      <c r="E207" s="157">
        <v>4</v>
      </c>
      <c r="F207" s="95"/>
      <c r="G207" s="24" t="s">
        <v>892</v>
      </c>
      <c r="H207" s="108">
        <v>12</v>
      </c>
      <c r="I207" s="55" t="s">
        <v>893</v>
      </c>
      <c r="J207" s="7"/>
      <c r="K207" s="154" t="str">
        <f t="shared" si="12"/>
        <v>N/A</v>
      </c>
      <c r="L207" s="56"/>
      <c r="M207" s="123"/>
    </row>
    <row r="208" spans="1:13" x14ac:dyDescent="0.3">
      <c r="D208" s="95"/>
      <c r="E208" s="95"/>
      <c r="F208" s="95"/>
      <c r="G208" s="7"/>
      <c r="H208" s="7"/>
      <c r="I208" s="7"/>
      <c r="J208" s="7"/>
      <c r="K208" s="154" t="str">
        <f t="shared" si="12"/>
        <v>N/A</v>
      </c>
      <c r="L208" s="56"/>
      <c r="M208" s="123"/>
    </row>
    <row r="209" spans="1:13" x14ac:dyDescent="0.3">
      <c r="B209" s="7" t="s">
        <v>886</v>
      </c>
      <c r="D209" s="156" t="s">
        <v>91</v>
      </c>
      <c r="E209" s="157" t="s">
        <v>92</v>
      </c>
      <c r="F209" s="158">
        <v>4</v>
      </c>
      <c r="G209" s="23">
        <f t="shared" ref="G209:J212" si="15">$F209*G$213</f>
        <v>4</v>
      </c>
      <c r="H209" s="23">
        <f t="shared" si="15"/>
        <v>8</v>
      </c>
      <c r="I209" s="23">
        <f t="shared" si="15"/>
        <v>12</v>
      </c>
      <c r="J209" s="23">
        <f t="shared" si="15"/>
        <v>16</v>
      </c>
      <c r="K209" s="154" t="str">
        <f t="shared" si="12"/>
        <v>N/A</v>
      </c>
      <c r="M209" s="123"/>
    </row>
    <row r="210" spans="1:13" x14ac:dyDescent="0.3">
      <c r="B210" s="7"/>
      <c r="D210" s="156" t="s">
        <v>94</v>
      </c>
      <c r="E210" s="157" t="s">
        <v>93</v>
      </c>
      <c r="F210" s="158">
        <v>3</v>
      </c>
      <c r="G210" s="23">
        <f t="shared" si="15"/>
        <v>3</v>
      </c>
      <c r="H210" s="23">
        <f t="shared" si="15"/>
        <v>6</v>
      </c>
      <c r="I210" s="23">
        <f t="shared" si="15"/>
        <v>9</v>
      </c>
      <c r="J210" s="23">
        <f t="shared" si="15"/>
        <v>12</v>
      </c>
      <c r="K210" s="154" t="str">
        <f t="shared" si="12"/>
        <v>N/A</v>
      </c>
      <c r="L210" s="24"/>
      <c r="M210" s="123"/>
    </row>
    <row r="211" spans="1:13" x14ac:dyDescent="0.3">
      <c r="B211" s="7"/>
      <c r="D211" s="156" t="s">
        <v>95</v>
      </c>
      <c r="E211" s="157">
        <v>2</v>
      </c>
      <c r="F211" s="158">
        <v>2</v>
      </c>
      <c r="G211" s="23">
        <f t="shared" si="15"/>
        <v>2</v>
      </c>
      <c r="H211" s="23">
        <f t="shared" si="15"/>
        <v>4</v>
      </c>
      <c r="I211" s="23">
        <f t="shared" si="15"/>
        <v>6</v>
      </c>
      <c r="J211" s="23">
        <f t="shared" si="15"/>
        <v>8</v>
      </c>
      <c r="K211" s="154" t="str">
        <f t="shared" si="12"/>
        <v>N/A</v>
      </c>
      <c r="L211" s="23"/>
      <c r="M211" s="123"/>
    </row>
    <row r="212" spans="1:13" x14ac:dyDescent="0.3">
      <c r="B212" s="7"/>
      <c r="D212" s="156" t="s">
        <v>96</v>
      </c>
      <c r="E212" s="157">
        <v>3</v>
      </c>
      <c r="F212" s="158">
        <v>1</v>
      </c>
      <c r="G212" s="23">
        <f t="shared" si="15"/>
        <v>1</v>
      </c>
      <c r="H212" s="23">
        <f t="shared" si="15"/>
        <v>2</v>
      </c>
      <c r="I212" s="23">
        <f t="shared" si="15"/>
        <v>3</v>
      </c>
      <c r="J212" s="23">
        <f t="shared" si="15"/>
        <v>4</v>
      </c>
      <c r="K212" s="154" t="str">
        <f t="shared" si="12"/>
        <v>N/A</v>
      </c>
      <c r="L212" s="23"/>
      <c r="M212" s="123"/>
    </row>
    <row r="213" spans="1:13" x14ac:dyDescent="0.3">
      <c r="B213" s="7"/>
      <c r="D213" s="156" t="s">
        <v>97</v>
      </c>
      <c r="E213" s="157">
        <v>4</v>
      </c>
      <c r="F213" s="95"/>
      <c r="G213" s="23">
        <v>1</v>
      </c>
      <c r="H213" s="23">
        <v>2</v>
      </c>
      <c r="I213" s="23">
        <v>3</v>
      </c>
      <c r="J213" s="23">
        <v>4</v>
      </c>
      <c r="K213" s="154" t="str">
        <f t="shared" si="12"/>
        <v>N/A</v>
      </c>
      <c r="L213" s="23"/>
      <c r="M213" s="123"/>
    </row>
    <row r="214" spans="1:13" x14ac:dyDescent="0.3">
      <c r="K214" s="154" t="str">
        <f t="shared" si="12"/>
        <v>N/A</v>
      </c>
      <c r="L214" s="56"/>
    </row>
    <row r="215" spans="1:13" ht="15.6" x14ac:dyDescent="0.3">
      <c r="A215" s="3" t="s">
        <v>879</v>
      </c>
      <c r="B215" s="4" t="s">
        <v>20</v>
      </c>
      <c r="C215" s="4"/>
      <c r="D215" s="2"/>
      <c r="E215" s="2"/>
      <c r="F215" s="2"/>
      <c r="G215" s="2"/>
      <c r="H215" s="5"/>
    </row>
    <row r="216" spans="1:13" x14ac:dyDescent="0.3">
      <c r="A216" s="2"/>
      <c r="B216" s="2"/>
      <c r="C216" s="2"/>
      <c r="D216" s="2"/>
      <c r="E216" s="2"/>
      <c r="F216" s="2"/>
      <c r="G216" s="2"/>
      <c r="H216" s="2"/>
    </row>
    <row r="217" spans="1:13" ht="39.6" customHeight="1" x14ac:dyDescent="0.3">
      <c r="A217" s="2"/>
      <c r="B217" s="205" t="s">
        <v>1216</v>
      </c>
      <c r="C217" s="205"/>
      <c r="D217" s="205"/>
      <c r="E217" s="205"/>
      <c r="F217" s="205"/>
      <c r="G217" s="205"/>
      <c r="H217" s="205"/>
      <c r="I217" s="205"/>
      <c r="J217" s="205"/>
      <c r="K217" s="205"/>
    </row>
    <row r="218" spans="1:13" ht="10.95" customHeight="1" x14ac:dyDescent="0.3">
      <c r="A218" s="2"/>
      <c r="B218" s="2"/>
      <c r="C218" s="2"/>
      <c r="D218" s="2"/>
      <c r="E218" s="2"/>
      <c r="F218" s="2"/>
      <c r="G218" s="2"/>
      <c r="H218" s="2"/>
    </row>
    <row r="219" spans="1:13" ht="14.4" customHeight="1" x14ac:dyDescent="0.3">
      <c r="A219" s="12">
        <v>6.01</v>
      </c>
      <c r="B219" s="192" t="s">
        <v>1218</v>
      </c>
      <c r="C219" s="192"/>
      <c r="D219" s="213" t="str">
        <f>IF($M$151&gt;0,"(you still need to make "&amp;$M$151&amp;" selection(s) above)",IF($L$151&gt;0,"You have "&amp;$L$151&amp;" unresolved issue(s) above. It is recommended that you only proceed once you have resolved all issues.","Your application does not appear to have any unaccepted risks. You can proceed, subject to any other objections or changes to your answers above."))</f>
        <v>(you still need to make 39 selection(s) above)</v>
      </c>
      <c r="E219" s="214"/>
      <c r="F219" s="214"/>
      <c r="G219" s="214"/>
      <c r="H219" s="214"/>
      <c r="I219" s="214"/>
      <c r="J219" s="214"/>
      <c r="K219" s="214"/>
      <c r="M219" s="123"/>
    </row>
    <row r="220" spans="1:13" x14ac:dyDescent="0.3">
      <c r="A220" s="2"/>
      <c r="B220" s="2"/>
      <c r="C220" s="2"/>
      <c r="D220" s="2"/>
      <c r="E220" s="2"/>
      <c r="F220" s="2"/>
      <c r="G220" s="2"/>
      <c r="H220" s="2"/>
      <c r="M220" s="123"/>
    </row>
    <row r="221" spans="1:13" x14ac:dyDescent="0.3">
      <c r="A221" s="12">
        <f>MAX($A$215:$A219)+0.01</f>
        <v>6.02</v>
      </c>
      <c r="B221" s="192" t="s">
        <v>915</v>
      </c>
      <c r="C221" s="193"/>
      <c r="D221" s="155" t="str">
        <f>IF(LEFT($F$221,6)="(See s","N/A",IF($D$166&lt;&gt;"Yes","No DPIA has been done",IF(COUNTIF($H$177:$H$195,"&gt;="&amp;$H$207)&gt;0,"High residual risks remain; notify authority",IF(COUNTIF($H$177:$H$195,"&gt;="&amp;$H$206)&gt;0,"Medium residual risks remain","Only low (or no) risks identified"))))</f>
        <v>No DPIA has been done</v>
      </c>
      <c r="E221" s="2"/>
      <c r="F221" s="178" t="s">
        <v>914</v>
      </c>
      <c r="G221" s="2"/>
      <c r="H221" s="2"/>
      <c r="M221" s="123"/>
    </row>
    <row r="222" spans="1:13" x14ac:dyDescent="0.3">
      <c r="A222" s="2"/>
      <c r="B222" s="2"/>
      <c r="C222" s="2"/>
      <c r="D222" s="2"/>
      <c r="E222" s="2"/>
      <c r="F222" s="2"/>
      <c r="G222" s="2"/>
      <c r="H222" s="2"/>
      <c r="M222" s="123"/>
    </row>
    <row r="223" spans="1:13" ht="29.4" customHeight="1" x14ac:dyDescent="0.3">
      <c r="A223" s="12">
        <f>MAX($A$215:$A221)+0.01</f>
        <v>6.0299999999999994</v>
      </c>
      <c r="B223" s="192" t="s">
        <v>684</v>
      </c>
      <c r="C223" s="193"/>
      <c r="D223" s="189"/>
      <c r="E223" s="190"/>
      <c r="F223" s="190"/>
      <c r="G223" s="190"/>
      <c r="H223" s="190"/>
      <c r="I223" s="190"/>
      <c r="J223" s="190"/>
      <c r="K223" s="191"/>
      <c r="M223" s="123"/>
    </row>
    <row r="224" spans="1:13" ht="33.6" customHeight="1" x14ac:dyDescent="0.3">
      <c r="A224" s="12">
        <f>MAX($A$215:$A222)+0.01</f>
        <v>6.0299999999999994</v>
      </c>
      <c r="B224" s="192" t="s">
        <v>685</v>
      </c>
      <c r="C224" s="193"/>
      <c r="D224" s="189"/>
      <c r="E224" s="190"/>
      <c r="F224" s="190"/>
      <c r="G224" s="190"/>
      <c r="H224" s="190"/>
      <c r="I224" s="190"/>
      <c r="J224" s="190"/>
      <c r="K224" s="191"/>
      <c r="M224" s="123"/>
    </row>
    <row r="225" spans="1:13" x14ac:dyDescent="0.3">
      <c r="A225" s="12"/>
      <c r="B225" s="2"/>
      <c r="C225" s="2"/>
      <c r="D225" s="2"/>
      <c r="E225" s="2"/>
      <c r="F225" s="2"/>
      <c r="G225" s="2"/>
      <c r="H225" s="2"/>
    </row>
    <row r="226" spans="1:13" x14ac:dyDescent="0.3">
      <c r="A226" s="12">
        <f>MAX($A$215:$A225)+0.01</f>
        <v>6.0399999999999991</v>
      </c>
      <c r="B226" s="192" t="s">
        <v>362</v>
      </c>
      <c r="C226" s="193"/>
      <c r="D226" s="9" t="s">
        <v>31</v>
      </c>
      <c r="E226" s="2"/>
      <c r="F226" s="49" t="s">
        <v>363</v>
      </c>
      <c r="G226" s="2"/>
      <c r="H226" s="2"/>
      <c r="M226" s="123"/>
    </row>
    <row r="227" spans="1:13" x14ac:dyDescent="0.3">
      <c r="A227" s="12"/>
      <c r="B227" s="2"/>
      <c r="C227" s="2"/>
      <c r="D227" s="2"/>
      <c r="E227" s="2"/>
      <c r="F227" s="2"/>
      <c r="G227" s="2"/>
      <c r="H227" s="2"/>
      <c r="M227" s="123"/>
    </row>
    <row r="228" spans="1:13" x14ac:dyDescent="0.3">
      <c r="A228" s="12">
        <f>MAX($A$215:$A227)+0.01</f>
        <v>6.0499999999999989</v>
      </c>
      <c r="B228" s="208" t="s">
        <v>672</v>
      </c>
      <c r="C228" s="212"/>
      <c r="D228" s="9" t="s">
        <v>31</v>
      </c>
      <c r="E228" s="2"/>
      <c r="F228" s="49" t="s">
        <v>687</v>
      </c>
      <c r="G228" s="2"/>
      <c r="H228" s="2"/>
      <c r="M228" s="123"/>
    </row>
    <row r="229" spans="1:13" x14ac:dyDescent="0.3">
      <c r="A229" s="12"/>
      <c r="B229" s="40"/>
      <c r="C229" s="41"/>
      <c r="D229" s="2"/>
      <c r="E229" s="2"/>
      <c r="F229" s="2"/>
      <c r="G229" s="2"/>
      <c r="H229" s="2"/>
      <c r="M229" s="123"/>
    </row>
    <row r="230" spans="1:13" ht="41.7" customHeight="1" x14ac:dyDescent="0.3">
      <c r="A230" s="12">
        <f>MAX($A$215:$A228)+0.01</f>
        <v>6.0599999999999987</v>
      </c>
      <c r="B230" s="192" t="s">
        <v>353</v>
      </c>
      <c r="C230" s="193"/>
      <c r="D230" s="189"/>
      <c r="E230" s="190"/>
      <c r="F230" s="190"/>
      <c r="G230" s="190"/>
      <c r="H230" s="190"/>
      <c r="I230" s="190"/>
      <c r="J230" s="190"/>
      <c r="K230" s="191"/>
      <c r="M230" s="123"/>
    </row>
    <row r="231" spans="1:13" x14ac:dyDescent="0.3">
      <c r="B231" s="7"/>
    </row>
    <row r="232" spans="1:13" x14ac:dyDescent="0.3">
      <c r="D232" s="20" t="str">
        <f>"Please repeat this risk assessment whenever there are material changes to the application or risk factors change, but at the latest by "&amp;IFERROR(TEXT(EDATE($F$9,$E$151*12),"[$-409]MMMM T, JJJJ"),"[please re-enter date in Cell E102]")&amp;"."</f>
        <v>Please repeat this risk assessment whenever there are material changes to the application or risk factors change, but at the latest by April 1, 2027.</v>
      </c>
    </row>
    <row r="233" spans="1:13" x14ac:dyDescent="0.3">
      <c r="B233" s="7"/>
    </row>
    <row r="234" spans="1:13" ht="14.4" customHeight="1" x14ac:dyDescent="0.3">
      <c r="B234" s="205"/>
      <c r="C234" s="205"/>
      <c r="D234" s="205"/>
      <c r="E234" s="205"/>
      <c r="F234" s="205"/>
      <c r="G234" s="205"/>
      <c r="H234" s="205"/>
      <c r="I234" s="205"/>
      <c r="J234" s="205"/>
      <c r="K234" s="205"/>
    </row>
    <row r="235" spans="1:13" x14ac:dyDescent="0.3">
      <c r="B235" t="s">
        <v>733</v>
      </c>
    </row>
    <row r="237" spans="1:13" ht="27.6" customHeight="1" x14ac:dyDescent="0.3">
      <c r="A237" s="125" t="str">
        <f>ROW($A237)-ROW($A$236)&amp;")"</f>
        <v>1)</v>
      </c>
      <c r="B237" s="205" t="s">
        <v>1226</v>
      </c>
      <c r="C237" s="205"/>
      <c r="D237" s="205"/>
      <c r="E237" s="205"/>
      <c r="F237" s="205"/>
      <c r="G237" s="205"/>
      <c r="H237" s="205"/>
      <c r="I237" s="205"/>
      <c r="J237" s="205"/>
      <c r="K237" s="205"/>
    </row>
    <row r="238" spans="1:13" ht="30" customHeight="1" x14ac:dyDescent="0.3">
      <c r="A238" s="125" t="str">
        <f t="shared" ref="A238:A248" si="16">ROW($A238)-ROW($A$236)&amp;")"</f>
        <v>2)</v>
      </c>
      <c r="B238" s="205" t="s">
        <v>787</v>
      </c>
      <c r="C238" s="205"/>
      <c r="D238" s="205"/>
      <c r="E238" s="205"/>
      <c r="F238" s="205"/>
      <c r="G238" s="205"/>
      <c r="H238" s="205"/>
      <c r="I238" s="205"/>
      <c r="J238" s="205"/>
      <c r="K238" s="205"/>
    </row>
    <row r="239" spans="1:13" ht="27.6" customHeight="1" x14ac:dyDescent="0.3">
      <c r="A239" s="125" t="str">
        <f t="shared" si="16"/>
        <v>3)</v>
      </c>
      <c r="B239" s="205" t="s">
        <v>726</v>
      </c>
      <c r="C239" s="205"/>
      <c r="D239" s="205"/>
      <c r="E239" s="205"/>
      <c r="F239" s="205"/>
      <c r="G239" s="205"/>
      <c r="H239" s="205"/>
      <c r="I239" s="205"/>
      <c r="J239" s="205"/>
      <c r="K239" s="205"/>
    </row>
    <row r="240" spans="1:13" ht="26.4" customHeight="1" x14ac:dyDescent="0.3">
      <c r="A240" s="125" t="str">
        <f t="shared" si="16"/>
        <v>4)</v>
      </c>
      <c r="B240" s="205" t="s">
        <v>704</v>
      </c>
      <c r="C240" s="205"/>
      <c r="D240" s="205"/>
      <c r="E240" s="205"/>
      <c r="F240" s="205"/>
      <c r="G240" s="205"/>
      <c r="H240" s="205"/>
      <c r="I240" s="205"/>
      <c r="J240" s="205"/>
      <c r="K240" s="205"/>
    </row>
    <row r="241" spans="1:11" ht="27.6" customHeight="1" x14ac:dyDescent="0.3">
      <c r="A241" s="125" t="str">
        <f t="shared" si="16"/>
        <v>5)</v>
      </c>
      <c r="B241" s="205" t="s">
        <v>786</v>
      </c>
      <c r="C241" s="205"/>
      <c r="D241" s="205"/>
      <c r="E241" s="205"/>
      <c r="F241" s="205"/>
      <c r="G241" s="205"/>
      <c r="H241" s="205"/>
      <c r="I241" s="205"/>
      <c r="J241" s="205"/>
      <c r="K241" s="205"/>
    </row>
    <row r="242" spans="1:11" ht="39" customHeight="1" x14ac:dyDescent="0.3">
      <c r="A242" s="125" t="str">
        <f t="shared" si="16"/>
        <v>6)</v>
      </c>
      <c r="B242" s="205" t="s">
        <v>788</v>
      </c>
      <c r="C242" s="205"/>
      <c r="D242" s="205"/>
      <c r="E242" s="205"/>
      <c r="F242" s="205"/>
      <c r="G242" s="205"/>
      <c r="H242" s="205"/>
      <c r="I242" s="205"/>
      <c r="J242" s="205"/>
      <c r="K242" s="205"/>
    </row>
    <row r="243" spans="1:11" ht="14.4" customHeight="1" x14ac:dyDescent="0.3">
      <c r="A243" s="125" t="str">
        <f t="shared" si="16"/>
        <v>7)</v>
      </c>
      <c r="B243" s="205" t="s">
        <v>705</v>
      </c>
      <c r="C243" s="205"/>
      <c r="D243" s="205"/>
      <c r="E243" s="205"/>
      <c r="F243" s="205"/>
      <c r="G243" s="205"/>
      <c r="H243" s="205"/>
      <c r="I243" s="205"/>
      <c r="J243" s="205"/>
      <c r="K243" s="205"/>
    </row>
    <row r="244" spans="1:11" ht="25.8" customHeight="1" x14ac:dyDescent="0.3">
      <c r="A244" s="125" t="str">
        <f t="shared" si="16"/>
        <v>8)</v>
      </c>
      <c r="B244" s="205" t="s">
        <v>921</v>
      </c>
      <c r="C244" s="205"/>
      <c r="D244" s="205"/>
      <c r="E244" s="205"/>
      <c r="F244" s="205"/>
      <c r="G244" s="205"/>
      <c r="H244" s="205"/>
      <c r="I244" s="205"/>
      <c r="J244" s="205"/>
      <c r="K244" s="205"/>
    </row>
    <row r="245" spans="1:11" ht="40.200000000000003" customHeight="1" x14ac:dyDescent="0.3">
      <c r="A245" s="125" t="str">
        <f t="shared" si="16"/>
        <v>9)</v>
      </c>
      <c r="B245" s="205" t="s">
        <v>918</v>
      </c>
      <c r="C245" s="205"/>
      <c r="D245" s="205"/>
      <c r="E245" s="205"/>
      <c r="F245" s="205"/>
      <c r="G245" s="205"/>
      <c r="H245" s="205"/>
      <c r="I245" s="205"/>
      <c r="J245" s="205"/>
      <c r="K245" s="205"/>
    </row>
    <row r="246" spans="1:11" ht="25.95" customHeight="1" x14ac:dyDescent="0.3">
      <c r="A246" s="125" t="str">
        <f t="shared" si="16"/>
        <v>10)</v>
      </c>
      <c r="B246" s="205" t="s">
        <v>729</v>
      </c>
      <c r="C246" s="205"/>
      <c r="D246" s="205"/>
      <c r="E246" s="205"/>
      <c r="F246" s="205"/>
      <c r="G246" s="205"/>
      <c r="H246" s="205"/>
      <c r="I246" s="205"/>
      <c r="J246" s="205"/>
      <c r="K246" s="205"/>
    </row>
    <row r="247" spans="1:11" ht="49.8" customHeight="1" x14ac:dyDescent="0.3">
      <c r="A247" s="125" t="str">
        <f t="shared" si="16"/>
        <v>11)</v>
      </c>
      <c r="B247" s="205" t="s">
        <v>730</v>
      </c>
      <c r="C247" s="205"/>
      <c r="D247" s="205"/>
      <c r="E247" s="205"/>
      <c r="F247" s="205"/>
      <c r="G247" s="205"/>
      <c r="H247" s="205"/>
      <c r="I247" s="205"/>
      <c r="J247" s="205"/>
      <c r="K247" s="205"/>
    </row>
    <row r="248" spans="1:11" ht="36.6" customHeight="1" x14ac:dyDescent="0.3">
      <c r="A248" s="125" t="str">
        <f t="shared" si="16"/>
        <v>12)</v>
      </c>
      <c r="B248" s="205" t="s">
        <v>736</v>
      </c>
      <c r="C248" s="205"/>
      <c r="D248" s="205"/>
      <c r="E248" s="205"/>
      <c r="F248" s="205"/>
      <c r="G248" s="205"/>
      <c r="H248" s="205"/>
      <c r="I248" s="205"/>
      <c r="J248" s="205"/>
      <c r="K248" s="205"/>
    </row>
    <row r="249" spans="1:11" x14ac:dyDescent="0.3">
      <c r="B249" s="205"/>
      <c r="C249" s="205"/>
      <c r="D249" s="205"/>
      <c r="E249" s="205"/>
      <c r="F249" s="205"/>
      <c r="G249" s="205"/>
      <c r="H249" s="205"/>
      <c r="I249" s="205"/>
      <c r="J249" s="205"/>
      <c r="K249" s="205"/>
    </row>
    <row r="250" spans="1:11" ht="30.6" customHeight="1" x14ac:dyDescent="0.3">
      <c r="A250" s="221" t="s">
        <v>441</v>
      </c>
      <c r="B250" s="221"/>
      <c r="C250" s="221"/>
      <c r="D250" s="221"/>
      <c r="E250" s="221"/>
      <c r="F250" s="221"/>
      <c r="G250" s="221"/>
      <c r="H250" s="221"/>
      <c r="I250" s="92"/>
    </row>
    <row r="251" spans="1:11" ht="47.4" customHeight="1" x14ac:dyDescent="0.3">
      <c r="A251" s="221" t="s">
        <v>1239</v>
      </c>
      <c r="B251" s="221"/>
      <c r="C251" s="221"/>
      <c r="D251" s="221"/>
      <c r="E251" s="221"/>
      <c r="F251" s="221"/>
      <c r="G251" s="221"/>
      <c r="H251" s="221"/>
      <c r="I251" s="92"/>
    </row>
  </sheetData>
  <sheetProtection sheet="1" objects="1" scenarios="1" formatCells="0" formatColumns="0" formatRows="0"/>
  <protectedRanges>
    <protectedRange sqref="E168" name="Bereich10"/>
    <protectedRange sqref="B177:G195 I177:J195 D199 E159:E164" name="Bereich8"/>
    <protectedRange sqref="E48 E51:E52 E56:F65 E71:F73" name="Bereich7"/>
    <protectedRange sqref="F221 D223:D224 D226 D228 D230" name="Bereich6"/>
    <protectedRange sqref="E104:F110 E151 H125:J149 E125:F149 E159:E164 E114:F121 H114:J121" name="Bereich3"/>
    <protectedRange sqref="D96 F96 E85:E92 E48 E51:E52 E56:E65 E71:E73" name="Bereich2"/>
    <protectedRange sqref="D6:D9 F9 D11 D13:D14 D20:D22 D40 D24:D38 E49:E50" name="Bereich1"/>
    <protectedRange sqref="D203:D207" name="Bereich4_1"/>
    <protectedRange sqref="D209:D213 H206:H207 H203" name="Bereich4_3"/>
    <protectedRange sqref="D23:H23" name="Bereich9"/>
  </protectedRanges>
  <mergeCells count="237">
    <mergeCell ref="I177:J177"/>
    <mergeCell ref="B177:C177"/>
    <mergeCell ref="I176:J176"/>
    <mergeCell ref="I172:J172"/>
    <mergeCell ref="I180:J180"/>
    <mergeCell ref="B191:C191"/>
    <mergeCell ref="I191:J191"/>
    <mergeCell ref="B174:C174"/>
    <mergeCell ref="D174:G174"/>
    <mergeCell ref="I182:J182"/>
    <mergeCell ref="I183:J183"/>
    <mergeCell ref="I184:J184"/>
    <mergeCell ref="I185:J185"/>
    <mergeCell ref="I186:J186"/>
    <mergeCell ref="I187:J187"/>
    <mergeCell ref="I188:J188"/>
    <mergeCell ref="I189:J189"/>
    <mergeCell ref="B189:C189"/>
    <mergeCell ref="I178:J178"/>
    <mergeCell ref="B179:C179"/>
    <mergeCell ref="I179:J179"/>
    <mergeCell ref="B180:C180"/>
    <mergeCell ref="B181:C181"/>
    <mergeCell ref="I181:J181"/>
    <mergeCell ref="B155:H155"/>
    <mergeCell ref="B170:C170"/>
    <mergeCell ref="B182:C182"/>
    <mergeCell ref="B183:C183"/>
    <mergeCell ref="B184:C184"/>
    <mergeCell ref="B185:C185"/>
    <mergeCell ref="B186:C186"/>
    <mergeCell ref="B187:C187"/>
    <mergeCell ref="B188:C188"/>
    <mergeCell ref="B178:C178"/>
    <mergeCell ref="B172:G172"/>
    <mergeCell ref="B164:D164"/>
    <mergeCell ref="B166:C166"/>
    <mergeCell ref="D166:E166"/>
    <mergeCell ref="B176:C176"/>
    <mergeCell ref="B168:D168"/>
    <mergeCell ref="B245:K245"/>
    <mergeCell ref="B244:K244"/>
    <mergeCell ref="B221:C221"/>
    <mergeCell ref="B192:C192"/>
    <mergeCell ref="I192:J192"/>
    <mergeCell ref="B195:C195"/>
    <mergeCell ref="I195:J195"/>
    <mergeCell ref="D197:F197"/>
    <mergeCell ref="B199:C199"/>
    <mergeCell ref="D199:J199"/>
    <mergeCell ref="B217:K217"/>
    <mergeCell ref="B223:C223"/>
    <mergeCell ref="D223:K223"/>
    <mergeCell ref="D230:K230"/>
    <mergeCell ref="B224:C224"/>
    <mergeCell ref="D224:K224"/>
    <mergeCell ref="B194:C194"/>
    <mergeCell ref="I194:J194"/>
    <mergeCell ref="B193:C193"/>
    <mergeCell ref="I193:J193"/>
    <mergeCell ref="D78:E78"/>
    <mergeCell ref="D77:E77"/>
    <mergeCell ref="D79:E79"/>
    <mergeCell ref="B62:D62"/>
    <mergeCell ref="B71:D71"/>
    <mergeCell ref="B72:D72"/>
    <mergeCell ref="B73:D73"/>
    <mergeCell ref="G71:H73"/>
    <mergeCell ref="B67:H67"/>
    <mergeCell ref="B60:D60"/>
    <mergeCell ref="B61:D61"/>
    <mergeCell ref="B63:D63"/>
    <mergeCell ref="G56:H59"/>
    <mergeCell ref="G60:H63"/>
    <mergeCell ref="B64:D64"/>
    <mergeCell ref="B65:D65"/>
    <mergeCell ref="G64:H64"/>
    <mergeCell ref="G65:H65"/>
    <mergeCell ref="B51:D51"/>
    <mergeCell ref="G51:H51"/>
    <mergeCell ref="B56:D56"/>
    <mergeCell ref="B57:D57"/>
    <mergeCell ref="B58:D58"/>
    <mergeCell ref="B59:D59"/>
    <mergeCell ref="B52:D52"/>
    <mergeCell ref="G52:H52"/>
    <mergeCell ref="B42:D42"/>
    <mergeCell ref="B48:D48"/>
    <mergeCell ref="B49:D49"/>
    <mergeCell ref="E49:F49"/>
    <mergeCell ref="G48:H48"/>
    <mergeCell ref="G49:H49"/>
    <mergeCell ref="B50:D50"/>
    <mergeCell ref="E50:F50"/>
    <mergeCell ref="G50:H50"/>
    <mergeCell ref="B44:H44"/>
    <mergeCell ref="A251:H251"/>
    <mergeCell ref="A250:H250"/>
    <mergeCell ref="B117:D117"/>
    <mergeCell ref="B249:K249"/>
    <mergeCell ref="B234:K234"/>
    <mergeCell ref="B247:K247"/>
    <mergeCell ref="B248:K248"/>
    <mergeCell ref="B102:D102"/>
    <mergeCell ref="B126:D126"/>
    <mergeCell ref="B127:D127"/>
    <mergeCell ref="B128:D128"/>
    <mergeCell ref="B130:D130"/>
    <mergeCell ref="B131:D131"/>
    <mergeCell ref="B132:D132"/>
    <mergeCell ref="B133:D133"/>
    <mergeCell ref="B134:D134"/>
    <mergeCell ref="B135:D135"/>
    <mergeCell ref="B238:K238"/>
    <mergeCell ref="B239:K239"/>
    <mergeCell ref="B240:K240"/>
    <mergeCell ref="B241:K241"/>
    <mergeCell ref="B242:K242"/>
    <mergeCell ref="B243:K243"/>
    <mergeCell ref="B237:K237"/>
    <mergeCell ref="D94:G94"/>
    <mergeCell ref="F96:H97"/>
    <mergeCell ref="B96:C96"/>
    <mergeCell ref="B107:D107"/>
    <mergeCell ref="B108:D108"/>
    <mergeCell ref="B109:D109"/>
    <mergeCell ref="B110:D110"/>
    <mergeCell ref="B112:C112"/>
    <mergeCell ref="B114:D114"/>
    <mergeCell ref="B121:D121"/>
    <mergeCell ref="B115:D115"/>
    <mergeCell ref="B123:C123"/>
    <mergeCell ref="B125:D125"/>
    <mergeCell ref="B116:D116"/>
    <mergeCell ref="B118:D118"/>
    <mergeCell ref="B122:D122"/>
    <mergeCell ref="B105:D105"/>
    <mergeCell ref="B136:D136"/>
    <mergeCell ref="B106:D106"/>
    <mergeCell ref="B119:D119"/>
    <mergeCell ref="B120:D120"/>
    <mergeCell ref="B137:D137"/>
    <mergeCell ref="B138:D138"/>
    <mergeCell ref="B139:D139"/>
    <mergeCell ref="B140:D140"/>
    <mergeCell ref="B148:D148"/>
    <mergeCell ref="B149:D149"/>
    <mergeCell ref="B219:C219"/>
    <mergeCell ref="D219:K219"/>
    <mergeCell ref="B151:D151"/>
    <mergeCell ref="B142:D142"/>
    <mergeCell ref="B143:D143"/>
    <mergeCell ref="B144:D144"/>
    <mergeCell ref="B145:D145"/>
    <mergeCell ref="B146:D146"/>
    <mergeCell ref="B147:D147"/>
    <mergeCell ref="B141:D141"/>
    <mergeCell ref="B157:C157"/>
    <mergeCell ref="B159:D159"/>
    <mergeCell ref="B160:D160"/>
    <mergeCell ref="B161:D161"/>
    <mergeCell ref="B162:D162"/>
    <mergeCell ref="B190:C190"/>
    <mergeCell ref="I190:J190"/>
    <mergeCell ref="B163:D163"/>
    <mergeCell ref="B246:K246"/>
    <mergeCell ref="B83:H83"/>
    <mergeCell ref="B101:H101"/>
    <mergeCell ref="B93:D93"/>
    <mergeCell ref="B94:C94"/>
    <mergeCell ref="B37:C37"/>
    <mergeCell ref="D37:H37"/>
    <mergeCell ref="B38:C38"/>
    <mergeCell ref="D38:H38"/>
    <mergeCell ref="D40:H40"/>
    <mergeCell ref="B85:D85"/>
    <mergeCell ref="B86:D86"/>
    <mergeCell ref="B87:D87"/>
    <mergeCell ref="B88:D88"/>
    <mergeCell ref="B89:D89"/>
    <mergeCell ref="B92:D92"/>
    <mergeCell ref="B91:D91"/>
    <mergeCell ref="B99:D99"/>
    <mergeCell ref="B90:D90"/>
    <mergeCell ref="B104:D104"/>
    <mergeCell ref="B129:D129"/>
    <mergeCell ref="B226:C226"/>
    <mergeCell ref="B228:C228"/>
    <mergeCell ref="B230:C230"/>
    <mergeCell ref="B21:C21"/>
    <mergeCell ref="D21:H21"/>
    <mergeCell ref="B22:C22"/>
    <mergeCell ref="D22:H22"/>
    <mergeCell ref="B23:C23"/>
    <mergeCell ref="D23:H23"/>
    <mergeCell ref="B81:D81"/>
    <mergeCell ref="B30:C30"/>
    <mergeCell ref="D30:H30"/>
    <mergeCell ref="D35:H35"/>
    <mergeCell ref="B36:C36"/>
    <mergeCell ref="D36:H36"/>
    <mergeCell ref="B33:C33"/>
    <mergeCell ref="D33:H33"/>
    <mergeCell ref="B34:C34"/>
    <mergeCell ref="D34:H34"/>
    <mergeCell ref="B31:C31"/>
    <mergeCell ref="D31:H31"/>
    <mergeCell ref="B32:C32"/>
    <mergeCell ref="D32:H32"/>
    <mergeCell ref="B27:C27"/>
    <mergeCell ref="B28:C28"/>
    <mergeCell ref="B40:C40"/>
    <mergeCell ref="B35:C35"/>
    <mergeCell ref="D28:H28"/>
    <mergeCell ref="B29:C29"/>
    <mergeCell ref="D29:H29"/>
    <mergeCell ref="D27:H27"/>
    <mergeCell ref="A1:D1"/>
    <mergeCell ref="A2:E2"/>
    <mergeCell ref="A4:F4"/>
    <mergeCell ref="D6:F6"/>
    <mergeCell ref="D7:F7"/>
    <mergeCell ref="D8:F8"/>
    <mergeCell ref="D25:H25"/>
    <mergeCell ref="B26:C26"/>
    <mergeCell ref="D26:H26"/>
    <mergeCell ref="A13:C13"/>
    <mergeCell ref="A14:C14"/>
    <mergeCell ref="B24:C24"/>
    <mergeCell ref="D24:H24"/>
    <mergeCell ref="B25:C25"/>
    <mergeCell ref="D11:F11"/>
    <mergeCell ref="D13:F13"/>
    <mergeCell ref="D14:F14"/>
    <mergeCell ref="B18:H18"/>
    <mergeCell ref="B20:C20"/>
    <mergeCell ref="D20:H20"/>
  </mergeCells>
  <conditionalFormatting sqref="A69">
    <cfRule type="expression" dxfId="168" priority="33">
      <formula>$I$50=0</formula>
    </cfRule>
  </conditionalFormatting>
  <conditionalFormatting sqref="A57:F59">
    <cfRule type="expression" dxfId="167" priority="34">
      <formula>$E$56="No"</formula>
    </cfRule>
  </conditionalFormatting>
  <conditionalFormatting sqref="A49:H51">
    <cfRule type="expression" dxfId="166" priority="37">
      <formula>$I$48=0</formula>
    </cfRule>
  </conditionalFormatting>
  <conditionalFormatting sqref="A51:H51 G53:H53 A54 E54:H54 A55:D55 G55:H55 A70:D70 G70:H70">
    <cfRule type="expression" dxfId="165" priority="27">
      <formula>$I$50=0</formula>
    </cfRule>
  </conditionalFormatting>
  <conditionalFormatting sqref="A54:H73">
    <cfRule type="expression" dxfId="164" priority="26">
      <formula>$I$48+$I$52=0</formula>
    </cfRule>
  </conditionalFormatting>
  <conditionalFormatting sqref="A60:H63">
    <cfRule type="expression" dxfId="163" priority="36">
      <formula>$I$51=0</formula>
    </cfRule>
  </conditionalFormatting>
  <conditionalFormatting sqref="A64:H64">
    <cfRule type="expression" dxfId="162" priority="35">
      <formula>$I$63=1</formula>
    </cfRule>
  </conditionalFormatting>
  <conditionalFormatting sqref="A104:K154 A155:B155 I155:K155 A156:K167 A168:B168 E168:K168 A169:K169 A170:B170 D170:K170 A171:J171 K171:K214 A172:B172 H172:I172 A173:J173 A174:B174 D174 H174:J174 A175:J175 A176:I176 A177:J214">
    <cfRule type="expression" dxfId="161" priority="1">
      <formula>$K104="N/A"</formula>
    </cfRule>
  </conditionalFormatting>
  <conditionalFormatting sqref="D78">
    <cfRule type="expression" dxfId="160" priority="29">
      <formula>$I$49=1</formula>
    </cfRule>
    <cfRule type="expression" dxfId="159" priority="30">
      <formula>$I$51=1</formula>
    </cfRule>
  </conditionalFormatting>
  <conditionalFormatting sqref="D94">
    <cfRule type="beginsWith" dxfId="158" priority="58" operator="beginsWith" text="Your application seems">
      <formula>LEFT(D94,LEN("Your application seems"))="Your application seems"</formula>
    </cfRule>
    <cfRule type="beginsWith" dxfId="157" priority="57" operator="beginsWith" text="Your application involves">
      <formula>LEFT(D94,LEN("Your application involves"))="Your application involves"</formula>
    </cfRule>
  </conditionalFormatting>
  <conditionalFormatting sqref="D197">
    <cfRule type="expression" dxfId="156" priority="8">
      <formula>LEFT($D$197,5)="You s"</formula>
    </cfRule>
    <cfRule type="expression" dxfId="155" priority="45">
      <formula>LEFT($D$197,5)="You c"</formula>
    </cfRule>
  </conditionalFormatting>
  <conditionalFormatting sqref="D221">
    <cfRule type="expression" dxfId="154" priority="2">
      <formula>LEFT($D$221,5)="Mediu"</formula>
    </cfRule>
    <cfRule type="expression" dxfId="153" priority="3">
      <formula>LEFT($D$221,5)="High "</formula>
    </cfRule>
  </conditionalFormatting>
  <conditionalFormatting sqref="D226">
    <cfRule type="cellIs" dxfId="152" priority="80" operator="equal">
      <formula>"Low"</formula>
    </cfRule>
    <cfRule type="cellIs" dxfId="151" priority="81" operator="equal">
      <formula>"Medium"</formula>
    </cfRule>
    <cfRule type="cellIs" dxfId="150" priority="82" operator="equal">
      <formula>"High"</formula>
    </cfRule>
    <cfRule type="cellIs" dxfId="149" priority="89" operator="equal">
      <formula>"Very high"</formula>
    </cfRule>
  </conditionalFormatting>
  <conditionalFormatting sqref="D219:K219">
    <cfRule type="beginsWith" dxfId="146" priority="59" operator="beginsWith" text="You have">
      <formula>LEFT(D219,LEN("You have"))="You have"</formula>
    </cfRule>
    <cfRule type="beginsWith" dxfId="145" priority="60" operator="beginsWith" text="Your application does not">
      <formula>LEFT(D219,LEN("Your application does not"))="Your application does not"</formula>
    </cfRule>
  </conditionalFormatting>
  <conditionalFormatting sqref="G114:G121 G125:G149">
    <cfRule type="cellIs" dxfId="144" priority="49" operator="equal">
      <formula>"Warning!"</formula>
    </cfRule>
  </conditionalFormatting>
  <conditionalFormatting sqref="G114:H121 G125:H149">
    <cfRule type="cellIs" dxfId="143" priority="48" operator="equal">
      <formula>"OK"</formula>
    </cfRule>
  </conditionalFormatting>
  <conditionalFormatting sqref="G209:J212 H177:H195">
    <cfRule type="colorScale" priority="129">
      <colorScale>
        <cfvo type="num" val="$G$212"/>
        <cfvo type="num" val="$H$206"/>
        <cfvo type="num" val="16"/>
        <color rgb="FF63BE7B"/>
        <color rgb="FFFFEB84"/>
        <color rgb="FFF8696B"/>
      </colorScale>
    </cfRule>
  </conditionalFormatting>
  <conditionalFormatting sqref="H94">
    <cfRule type="expression" dxfId="142" priority="38">
      <formula>IF(LEFT($D$94,18)="Your application i",FALSE,TRUE)</formula>
    </cfRule>
  </conditionalFormatting>
  <conditionalFormatting sqref="H114:H121 H125:H149">
    <cfRule type="cellIs" dxfId="141" priority="50" operator="equal">
      <formula>"Not OK"</formula>
    </cfRule>
    <cfRule type="cellIs" dxfId="140" priority="51" operator="equal">
      <formula>"Risk decision"</formula>
    </cfRule>
  </conditionalFormatting>
  <conditionalFormatting sqref="H177:H195">
    <cfRule type="cellIs" dxfId="139" priority="7" operator="equal">
      <formula>0</formula>
    </cfRule>
  </conditionalFormatting>
  <conditionalFormatting sqref="H114:J121 H125:J149">
    <cfRule type="expression" dxfId="138" priority="44">
      <formula>OR($K114="N/A",NOT($G114="Warning!"))</formula>
    </cfRule>
  </conditionalFormatting>
  <conditionalFormatting sqref="J114:J121 J125:J149">
    <cfRule type="cellIs" dxfId="137" priority="53" operator="equal">
      <formula>"Accepted"</formula>
    </cfRule>
    <cfRule type="cellIs" dxfId="136" priority="54" operator="equal">
      <formula>"Mitigate"</formula>
    </cfRule>
    <cfRule type="cellIs" dxfId="135" priority="55" operator="equal">
      <formula>"Not accepted"</formula>
    </cfRule>
    <cfRule type="expression" dxfId="134" priority="43">
      <formula>OR($K114="N/A",$H114="")</formula>
    </cfRule>
  </conditionalFormatting>
  <dataValidations count="13">
    <dataValidation type="list" allowBlank="1" showInputMessage="1" showErrorMessage="1" sqref="D226" xr:uid="{00000000-0002-0000-0100-000000000000}">
      <formula1>"(select),Low,Medium,High,Very High"</formula1>
    </dataValidation>
    <dataValidation type="list" allowBlank="1" showInputMessage="1" showErrorMessage="1" sqref="E116:E117 E108:E110 E104 E85:E92 E48 E51:E52 E56:E65 E71:E73" xr:uid="{00000000-0002-0000-0100-000001000000}">
      <formula1>"(select),Yes,No"</formula1>
    </dataValidation>
    <dataValidation type="list" allowBlank="1" showInputMessage="1" showErrorMessage="1" sqref="D96" xr:uid="{00000000-0002-0000-0100-000002000000}">
      <mc:AlternateContent xmlns:x12ac="http://schemas.microsoft.com/office/spreadsheetml/2011/1/ac" xmlns:mc="http://schemas.openxmlformats.org/markup-compatibility/2006">
        <mc:Choice Requires="x12ac">
          <x12ac:list>(select),Comprehensive Assessment,"Proceed with below (""light"" assessment)"</x12ac:list>
        </mc:Choice>
        <mc:Fallback>
          <formula1>"(select),Comprehensive Assessment,Proceed with below (""light"" assessment)"</formula1>
        </mc:Fallback>
      </mc:AlternateContent>
    </dataValidation>
    <dataValidation type="list" allowBlank="1" showInputMessage="1" showErrorMessage="1" sqref="E105:E107 E125:E149 E159:E164 E114:E115 E118:E121" xr:uid="{00000000-0002-0000-0100-000003000000}">
      <formula1>"(select),Yes,No,N/A"</formula1>
    </dataValidation>
    <dataValidation type="list" allowBlank="1" showInputMessage="1" showErrorMessage="1" sqref="H114:H121" xr:uid="{00000000-0002-0000-0100-000004000000}">
      <formula1>"(select),OK,Risk decision,Not OK,N/A"</formula1>
    </dataValidation>
    <dataValidation type="list" allowBlank="1" showInputMessage="1" showErrorMessage="1" sqref="J125:J149 J114:J121" xr:uid="{00000000-0002-0000-0100-000005000000}">
      <formula1>"(select),Accepted,Mitigate,Not accepted,N/A"</formula1>
    </dataValidation>
    <dataValidation type="list" allowBlank="1" showInputMessage="1" showErrorMessage="1" sqref="D228" xr:uid="{00000000-0002-0000-0100-000006000000}">
      <formula1>"(select),Implementation,No implementation for the time being,Do a comprehensive assessment"</formula1>
    </dataValidation>
    <dataValidation type="decimal" allowBlank="1" showInputMessage="1" showErrorMessage="1" errorTitle="Validity" error="Only amounts between 0.1 and 5.0 are permitted." sqref="E151" xr:uid="{00000000-0002-0000-0100-000007000000}">
      <formula1>0.1</formula1>
      <formula2>5</formula2>
    </dataValidation>
    <dataValidation type="list" allowBlank="1" showInputMessage="1" showErrorMessage="1" sqref="E177:E195" xr:uid="{029199B0-F6AD-4C65-92A0-48028FE2049D}">
      <formula1>$D$203:$D$207</formula1>
    </dataValidation>
    <dataValidation type="list" allowBlank="1" showInputMessage="1" showErrorMessage="1" sqref="G177:G195" xr:uid="{65C53322-85BA-4AB3-8B2D-328CDA18BBFA}">
      <formula1>$D$209:$D$213</formula1>
    </dataValidation>
    <dataValidation type="list" allowBlank="1" showInputMessage="1" showErrorMessage="1" sqref="F221" xr:uid="{15583CA9-4D84-444C-9E91-A509D15A98CD}">
      <formula1>"(see DPIA above),(see separate DPIA)"</formula1>
    </dataValidation>
    <dataValidation type="list" allowBlank="1" showInputMessage="1" showErrorMessage="1" sqref="H125:H149" xr:uid="{8B4F3E5B-11C0-4C37-B238-647989450245}">
      <formula1>"(select),OK,Risk Decision,Not OK,N/A"</formula1>
    </dataValidation>
    <dataValidation type="list" allowBlank="1" showInputMessage="1" showErrorMessage="1" sqref="E168" xr:uid="{6CB8ACDB-3771-486A-BB44-E6BAB3A7F046}">
      <mc:AlternateContent xmlns:x12ac="http://schemas.microsoft.com/office/spreadsheetml/2011/1/ac" xmlns:mc="http://schemas.openxmlformats.org/markup-compatibility/2006">
        <mc:Choice Requires="x12ac">
          <x12ac:list>(select),Yes,"Yes, separately",No</x12ac:list>
        </mc:Choice>
        <mc:Fallback>
          <formula1>"(select),Yes,Yes, separately,No"</formula1>
        </mc:Fallback>
      </mc:AlternateContent>
    </dataValidation>
  </dataValidations>
  <hyperlinks>
    <hyperlink ref="H94" location="GAIRA!A1" display=" Go to GAIRA" xr:uid="{00000000-0004-0000-0100-000000000000}"/>
  </hyperlinks>
  <pageMargins left="0.7" right="0.7" top="0.78740157499999996" bottom="0.78740157499999996" header="0.3" footer="0.3"/>
  <pageSetup paperSize="9" scale="46" fitToHeight="0" orientation="portrait" r:id="rId1"/>
  <ignoredErrors>
    <ignoredError sqref="G144:G145 G138 G129"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90" operator="beginsWith" id="{93C8C200-2E7A-4088-B498-21575CAC12EA}">
            <xm:f>LEFT(D228,LEN("Implementation"))="Implementation"</xm:f>
            <xm:f>"Implementation"</xm:f>
            <x14:dxf>
              <fill>
                <patternFill>
                  <bgColor theme="9" tint="0.39994506668294322"/>
                </patternFill>
              </fill>
            </x14:dxf>
          </x14:cfRule>
          <x14:cfRule type="beginsWith" priority="91" operator="beginsWith" id="{E0C2C233-68FC-49A6-8069-2E5C551B4D14}">
            <xm:f>LEFT(D228,LEN("No"))="No"</xm:f>
            <xm:f>"No"</xm:f>
            <x14:dxf>
              <font>
                <color auto="1"/>
              </font>
              <fill>
                <patternFill>
                  <bgColor rgb="FFFF7979"/>
                </patternFill>
              </fill>
            </x14:dxf>
          </x14:cfRule>
          <xm:sqref>D228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E9E0F5A-AD38-49C2-A12D-8F347C950AD4}">
          <x14:formula1>
            <xm:f>'AI Act E'!$A$8:$A$18</xm:f>
          </x14:formula1>
          <xm:sqref>E49:F49</xm:sqref>
        </x14:dataValidation>
        <x14:dataValidation type="list" allowBlank="1" showInputMessage="1" showErrorMessage="1" xr:uid="{FFFB0394-0D8C-4454-9B04-84E0C7B1EE54}">
          <x14:formula1>
            <xm:f>'AI Act E'!$A$19:$A$35</xm:f>
          </x14:formula1>
          <xm:sqref>E50:F50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D408-A774-4636-B7B2-588898FEF518}">
  <sheetPr codeName="Tabelle10">
    <tabColor rgb="FF2E5E58"/>
    <pageSetUpPr fitToPage="1"/>
  </sheetPr>
  <dimension ref="A1:M251"/>
  <sheetViews>
    <sheetView showGridLines="0" workbookViewId="0">
      <selection activeCell="D6" sqref="D6:F6"/>
    </sheetView>
  </sheetViews>
  <sheetFormatPr baseColWidth="10" defaultColWidth="11.44140625" defaultRowHeight="14.4" x14ac:dyDescent="0.3"/>
  <cols>
    <col min="1" max="1" width="8.6640625" customWidth="1"/>
    <col min="2" max="2" width="10.109375" customWidth="1"/>
    <col min="3" max="3" width="33.33203125" customWidth="1"/>
    <col min="4" max="4" width="42.77734375" customWidth="1"/>
    <col min="5" max="5" width="14.6640625" customWidth="1"/>
    <col min="6" max="6" width="33.33203125" customWidth="1"/>
    <col min="7" max="7" width="10" customWidth="1"/>
    <col min="8" max="8" width="14.21875" customWidth="1"/>
    <col min="9" max="9" width="13.109375" customWidth="1"/>
    <col min="10" max="10" width="13.77734375" customWidth="1"/>
    <col min="11" max="11" width="6.109375" customWidth="1"/>
    <col min="12" max="12" width="5" customWidth="1"/>
    <col min="13" max="13" width="8.33203125" customWidth="1"/>
    <col min="14" max="14" width="9.6640625" customWidth="1"/>
    <col min="15" max="15" width="35" customWidth="1"/>
    <col min="16" max="17" width="9.6640625" customWidth="1"/>
    <col min="18" max="18" width="6" customWidth="1"/>
    <col min="19" max="19" width="23.33203125" customWidth="1"/>
    <col min="20" max="20" width="13" customWidth="1"/>
    <col min="35" max="38" width="2.6640625" customWidth="1"/>
    <col min="39" max="62" width="3.6640625" customWidth="1"/>
  </cols>
  <sheetData>
    <row r="1" spans="1:13" ht="23.4" x14ac:dyDescent="0.45">
      <c r="A1" s="194" t="s">
        <v>1457</v>
      </c>
      <c r="B1" s="194"/>
      <c r="C1" s="194"/>
      <c r="D1" s="194"/>
    </row>
    <row r="2" spans="1:13" x14ac:dyDescent="0.3">
      <c r="A2" s="195" t="s">
        <v>1576</v>
      </c>
      <c r="B2" s="195"/>
      <c r="C2" s="195"/>
      <c r="D2" s="195"/>
      <c r="E2" s="195"/>
    </row>
    <row r="3" spans="1:13" x14ac:dyDescent="0.3">
      <c r="A3" s="63"/>
      <c r="B3" s="63"/>
      <c r="C3" s="63"/>
      <c r="D3" s="63"/>
      <c r="E3" s="63"/>
    </row>
    <row r="4" spans="1:13" ht="75" customHeight="1" x14ac:dyDescent="0.3">
      <c r="A4" s="196" t="s">
        <v>1054</v>
      </c>
      <c r="B4" s="196"/>
      <c r="C4" s="196"/>
      <c r="D4" s="196"/>
      <c r="E4" s="196"/>
      <c r="F4" s="196"/>
    </row>
    <row r="5" spans="1:13" x14ac:dyDescent="0.3">
      <c r="A5" s="63"/>
      <c r="B5" s="63"/>
      <c r="C5" s="63"/>
      <c r="D5" s="63"/>
      <c r="E5" s="63"/>
      <c r="M5" s="122"/>
    </row>
    <row r="6" spans="1:13" ht="14.7" customHeight="1" x14ac:dyDescent="0.3">
      <c r="A6" s="1" t="s">
        <v>965</v>
      </c>
      <c r="B6" s="2"/>
      <c r="C6" s="2"/>
      <c r="D6" s="197" t="s">
        <v>77</v>
      </c>
      <c r="E6" s="198"/>
      <c r="F6" s="198"/>
      <c r="G6" s="2"/>
      <c r="H6" s="2"/>
      <c r="M6" s="122"/>
    </row>
    <row r="7" spans="1:13" x14ac:dyDescent="0.3">
      <c r="A7" s="2" t="s">
        <v>966</v>
      </c>
      <c r="B7" s="2"/>
      <c r="C7" s="2"/>
      <c r="D7" s="199" t="s">
        <v>967</v>
      </c>
      <c r="E7" s="200"/>
      <c r="F7" s="200"/>
      <c r="G7" s="2"/>
      <c r="H7" s="2"/>
      <c r="M7" s="122"/>
    </row>
    <row r="8" spans="1:13" x14ac:dyDescent="0.3">
      <c r="A8" s="2" t="s">
        <v>1055</v>
      </c>
      <c r="B8" s="2"/>
      <c r="C8" s="2"/>
      <c r="D8" s="199" t="s">
        <v>78</v>
      </c>
      <c r="E8" s="200"/>
      <c r="F8" s="200"/>
      <c r="G8" s="2"/>
      <c r="H8" s="2"/>
      <c r="M8" s="122"/>
    </row>
    <row r="9" spans="1:13" x14ac:dyDescent="0.3">
      <c r="A9" s="2" t="s">
        <v>1056</v>
      </c>
      <c r="B9" s="2"/>
      <c r="C9" s="2"/>
      <c r="D9" s="62" t="s">
        <v>968</v>
      </c>
      <c r="E9" s="2"/>
      <c r="F9" s="110" t="s">
        <v>969</v>
      </c>
      <c r="G9" s="2"/>
      <c r="H9" s="2"/>
      <c r="M9" s="122"/>
    </row>
    <row r="10" spans="1:13" x14ac:dyDescent="0.3">
      <c r="A10" s="2"/>
      <c r="B10" s="2"/>
      <c r="C10" s="2"/>
      <c r="D10" s="2"/>
      <c r="E10" s="2"/>
      <c r="F10" s="2"/>
      <c r="G10" s="2"/>
      <c r="H10" s="2"/>
      <c r="M10" s="122"/>
    </row>
    <row r="11" spans="1:13" ht="18" x14ac:dyDescent="0.3">
      <c r="A11" s="1" t="s">
        <v>970</v>
      </c>
      <c r="B11" s="2"/>
      <c r="C11" s="2"/>
      <c r="D11" s="203" t="s">
        <v>971</v>
      </c>
      <c r="E11" s="204"/>
      <c r="F11" s="204"/>
      <c r="G11" s="2"/>
      <c r="H11" s="2"/>
      <c r="M11" s="122"/>
    </row>
    <row r="12" spans="1:13" x14ac:dyDescent="0.3">
      <c r="A12" s="2"/>
      <c r="B12" s="2"/>
      <c r="C12" s="2"/>
      <c r="D12" s="2"/>
      <c r="E12" s="2"/>
      <c r="F12" s="2"/>
      <c r="G12" s="2"/>
      <c r="H12" s="2"/>
      <c r="M12" s="122"/>
    </row>
    <row r="13" spans="1:13" ht="14.4" customHeight="1" x14ac:dyDescent="0.3">
      <c r="A13" s="201" t="s">
        <v>1057</v>
      </c>
      <c r="B13" s="201"/>
      <c r="C13" s="202"/>
      <c r="D13" s="189" t="s">
        <v>972</v>
      </c>
      <c r="E13" s="190"/>
      <c r="F13" s="190"/>
      <c r="G13" s="2"/>
      <c r="H13" s="2"/>
      <c r="M13" s="122"/>
    </row>
    <row r="14" spans="1:13" ht="16.95" customHeight="1" x14ac:dyDescent="0.3">
      <c r="A14" s="201" t="s">
        <v>1058</v>
      </c>
      <c r="B14" s="201"/>
      <c r="C14" s="202"/>
      <c r="D14" s="189" t="s">
        <v>973</v>
      </c>
      <c r="E14" s="190"/>
      <c r="F14" s="190"/>
      <c r="G14" s="2"/>
      <c r="H14" s="2"/>
      <c r="M14" s="122"/>
    </row>
    <row r="15" spans="1:13" ht="14.4" customHeight="1" x14ac:dyDescent="0.3">
      <c r="A15" s="86"/>
      <c r="B15" s="87"/>
      <c r="D15" s="84"/>
      <c r="E15" s="84"/>
      <c r="F15" s="84"/>
      <c r="G15" s="2"/>
      <c r="H15" s="2"/>
    </row>
    <row r="16" spans="1:13" ht="15.6" x14ac:dyDescent="0.3">
      <c r="A16" s="3" t="s">
        <v>974</v>
      </c>
      <c r="B16" s="4" t="s">
        <v>975</v>
      </c>
      <c r="C16" s="4"/>
      <c r="D16" s="2"/>
      <c r="E16" s="2"/>
      <c r="F16" s="2"/>
      <c r="G16" s="2"/>
      <c r="H16" s="5"/>
    </row>
    <row r="17" spans="1:13" x14ac:dyDescent="0.3">
      <c r="A17" s="2"/>
      <c r="B17" s="2"/>
      <c r="C17" s="2"/>
      <c r="D17" s="2"/>
      <c r="E17" s="2"/>
      <c r="F17" s="2"/>
      <c r="G17" s="2"/>
      <c r="H17" s="2"/>
    </row>
    <row r="18" spans="1:13" ht="39.6" customHeight="1" x14ac:dyDescent="0.3">
      <c r="B18" s="205" t="s">
        <v>1060</v>
      </c>
      <c r="C18" s="205"/>
      <c r="D18" s="205"/>
      <c r="E18" s="205"/>
      <c r="F18" s="205"/>
      <c r="G18" s="205"/>
      <c r="H18" s="205"/>
      <c r="I18" s="109"/>
    </row>
    <row r="19" spans="1:13" x14ac:dyDescent="0.3">
      <c r="A19" s="2"/>
      <c r="B19" s="2"/>
      <c r="C19" s="2"/>
      <c r="D19" s="2"/>
      <c r="E19" s="2"/>
      <c r="F19" s="2"/>
      <c r="G19" s="2"/>
      <c r="H19" s="2"/>
    </row>
    <row r="20" spans="1:13" ht="15.6" customHeight="1" x14ac:dyDescent="0.3">
      <c r="A20" s="6">
        <v>1.01</v>
      </c>
      <c r="B20" s="192" t="s">
        <v>976</v>
      </c>
      <c r="C20" s="193"/>
      <c r="D20" s="189" t="s">
        <v>977</v>
      </c>
      <c r="E20" s="190"/>
      <c r="F20" s="190"/>
      <c r="G20" s="190"/>
      <c r="H20" s="191"/>
      <c r="M20" s="122"/>
    </row>
    <row r="21" spans="1:13" ht="101.4" customHeight="1" x14ac:dyDescent="0.3">
      <c r="A21" s="6">
        <v>1.02</v>
      </c>
      <c r="B21" s="192" t="s">
        <v>978</v>
      </c>
      <c r="C21" s="193"/>
      <c r="D21" s="189" t="s">
        <v>979</v>
      </c>
      <c r="E21" s="190"/>
      <c r="F21" s="190"/>
      <c r="G21" s="190"/>
      <c r="H21" s="191"/>
      <c r="M21" s="122"/>
    </row>
    <row r="22" spans="1:13" ht="30.6" customHeight="1" x14ac:dyDescent="0.3">
      <c r="A22" s="6">
        <v>1.03</v>
      </c>
      <c r="B22" s="192" t="s">
        <v>980</v>
      </c>
      <c r="C22" s="193"/>
      <c r="D22" s="189" t="s">
        <v>981</v>
      </c>
      <c r="E22" s="190"/>
      <c r="F22" s="190"/>
      <c r="G22" s="190"/>
      <c r="H22" s="191"/>
      <c r="M22" s="122"/>
    </row>
    <row r="23" spans="1:13" x14ac:dyDescent="0.3">
      <c r="A23" s="6" t="s">
        <v>23</v>
      </c>
      <c r="B23" s="192" t="s">
        <v>1061</v>
      </c>
      <c r="C23" s="193"/>
      <c r="D23" s="189" t="s">
        <v>982</v>
      </c>
      <c r="E23" s="190"/>
      <c r="F23" s="190"/>
      <c r="G23" s="190"/>
      <c r="H23" s="191"/>
      <c r="M23" s="122"/>
    </row>
    <row r="24" spans="1:13" ht="28.2" customHeight="1" x14ac:dyDescent="0.3">
      <c r="A24" s="6">
        <v>1.05</v>
      </c>
      <c r="B24" s="192" t="s">
        <v>983</v>
      </c>
      <c r="C24" s="193"/>
      <c r="D24" s="189" t="s">
        <v>984</v>
      </c>
      <c r="E24" s="190"/>
      <c r="F24" s="190"/>
      <c r="G24" s="190"/>
      <c r="H24" s="191"/>
      <c r="M24" s="122"/>
    </row>
    <row r="25" spans="1:13" ht="29.4" customHeight="1" x14ac:dyDescent="0.3">
      <c r="A25" s="6">
        <v>1.06</v>
      </c>
      <c r="B25" s="192" t="s">
        <v>1062</v>
      </c>
      <c r="C25" s="193"/>
      <c r="D25" s="189" t="s">
        <v>985</v>
      </c>
      <c r="E25" s="190"/>
      <c r="F25" s="190"/>
      <c r="G25" s="190"/>
      <c r="H25" s="191"/>
      <c r="M25" s="122"/>
    </row>
    <row r="26" spans="1:13" ht="14.4" customHeight="1" x14ac:dyDescent="0.3">
      <c r="A26" s="6" t="s">
        <v>26</v>
      </c>
      <c r="B26" s="192" t="s">
        <v>1063</v>
      </c>
      <c r="C26" s="193"/>
      <c r="D26" s="189" t="s">
        <v>986</v>
      </c>
      <c r="E26" s="190"/>
      <c r="F26" s="190"/>
      <c r="G26" s="190"/>
      <c r="H26" s="191"/>
      <c r="M26" s="122"/>
    </row>
    <row r="27" spans="1:13" ht="14.4" customHeight="1" x14ac:dyDescent="0.3">
      <c r="A27" s="6" t="s">
        <v>27</v>
      </c>
      <c r="B27" s="192" t="s">
        <v>987</v>
      </c>
      <c r="C27" s="193"/>
      <c r="D27" s="189" t="s">
        <v>988</v>
      </c>
      <c r="E27" s="190"/>
      <c r="F27" s="190"/>
      <c r="G27" s="190"/>
      <c r="H27" s="191"/>
      <c r="M27" s="122"/>
    </row>
    <row r="28" spans="1:13" ht="33" customHeight="1" x14ac:dyDescent="0.3">
      <c r="A28" s="6" t="s">
        <v>28</v>
      </c>
      <c r="B28" s="192" t="s">
        <v>1064</v>
      </c>
      <c r="C28" s="193"/>
      <c r="D28" s="189" t="s">
        <v>989</v>
      </c>
      <c r="E28" s="190"/>
      <c r="F28" s="190"/>
      <c r="G28" s="190"/>
      <c r="H28" s="191"/>
      <c r="M28" s="122"/>
    </row>
    <row r="29" spans="1:13" ht="27" customHeight="1" x14ac:dyDescent="0.3">
      <c r="A29" s="6" t="s">
        <v>29</v>
      </c>
      <c r="B29" s="192" t="s">
        <v>990</v>
      </c>
      <c r="C29" s="193"/>
      <c r="D29" s="189" t="s">
        <v>1065</v>
      </c>
      <c r="E29" s="190"/>
      <c r="F29" s="190"/>
      <c r="G29" s="190"/>
      <c r="H29" s="191"/>
      <c r="M29" s="122"/>
    </row>
    <row r="30" spans="1:13" x14ac:dyDescent="0.3">
      <c r="A30" s="6" t="s">
        <v>62</v>
      </c>
      <c r="B30" s="192" t="s">
        <v>991</v>
      </c>
      <c r="C30" s="193"/>
      <c r="D30" s="189" t="s">
        <v>992</v>
      </c>
      <c r="E30" s="190"/>
      <c r="F30" s="190"/>
      <c r="G30" s="190"/>
      <c r="H30" s="191"/>
      <c r="M30" s="122"/>
    </row>
    <row r="31" spans="1:13" ht="29.4" customHeight="1" x14ac:dyDescent="0.3">
      <c r="A31" s="6">
        <v>1.1200000000000001</v>
      </c>
      <c r="B31" s="192" t="s">
        <v>993</v>
      </c>
      <c r="C31" s="193"/>
      <c r="D31" s="189" t="s">
        <v>994</v>
      </c>
      <c r="E31" s="190"/>
      <c r="F31" s="190"/>
      <c r="G31" s="190"/>
      <c r="H31" s="191"/>
      <c r="M31" s="122"/>
    </row>
    <row r="32" spans="1:13" x14ac:dyDescent="0.3">
      <c r="A32" s="6">
        <v>1.1299999999999999</v>
      </c>
      <c r="B32" s="192" t="s">
        <v>1066</v>
      </c>
      <c r="C32" s="193"/>
      <c r="D32" s="189" t="s">
        <v>995</v>
      </c>
      <c r="E32" s="190"/>
      <c r="F32" s="190"/>
      <c r="G32" s="190"/>
      <c r="H32" s="191"/>
      <c r="M32" s="122"/>
    </row>
    <row r="33" spans="1:13" x14ac:dyDescent="0.3">
      <c r="A33" s="6">
        <v>1.1399999999999999</v>
      </c>
      <c r="B33" s="192" t="s">
        <v>996</v>
      </c>
      <c r="C33" s="193"/>
      <c r="D33" s="189" t="s">
        <v>997</v>
      </c>
      <c r="E33" s="190"/>
      <c r="F33" s="190"/>
      <c r="G33" s="190"/>
      <c r="H33" s="191"/>
      <c r="M33" s="122"/>
    </row>
    <row r="34" spans="1:13" ht="30.6" customHeight="1" x14ac:dyDescent="0.3">
      <c r="A34" s="6">
        <v>1.1499999999999999</v>
      </c>
      <c r="B34" s="192" t="s">
        <v>998</v>
      </c>
      <c r="C34" s="193"/>
      <c r="D34" s="189" t="s">
        <v>999</v>
      </c>
      <c r="E34" s="190"/>
      <c r="F34" s="190"/>
      <c r="G34" s="190"/>
      <c r="H34" s="191"/>
      <c r="M34" s="122"/>
    </row>
    <row r="35" spans="1:13" ht="30.6" customHeight="1" x14ac:dyDescent="0.3">
      <c r="A35" s="6">
        <v>1.1599999999999999</v>
      </c>
      <c r="B35" s="192" t="s">
        <v>1068</v>
      </c>
      <c r="C35" s="193"/>
      <c r="D35" s="189" t="s">
        <v>1067</v>
      </c>
      <c r="E35" s="190"/>
      <c r="F35" s="190"/>
      <c r="G35" s="190"/>
      <c r="H35" s="191"/>
      <c r="M35" s="122"/>
    </row>
    <row r="36" spans="1:13" ht="88.8" customHeight="1" x14ac:dyDescent="0.3">
      <c r="A36" s="6">
        <v>1.17</v>
      </c>
      <c r="B36" s="192" t="s">
        <v>1069</v>
      </c>
      <c r="C36" s="193"/>
      <c r="D36" s="189" t="s">
        <v>1000</v>
      </c>
      <c r="E36" s="190"/>
      <c r="F36" s="190"/>
      <c r="G36" s="190"/>
      <c r="H36" s="191"/>
      <c r="M36" s="122"/>
    </row>
    <row r="37" spans="1:13" x14ac:dyDescent="0.3">
      <c r="A37" s="6">
        <v>1.18</v>
      </c>
      <c r="B37" s="192" t="s">
        <v>1001</v>
      </c>
      <c r="C37" s="193"/>
      <c r="D37" s="189" t="s">
        <v>1002</v>
      </c>
      <c r="E37" s="190"/>
      <c r="F37" s="190"/>
      <c r="G37" s="190"/>
      <c r="H37" s="191"/>
      <c r="M37" s="122"/>
    </row>
    <row r="38" spans="1:13" x14ac:dyDescent="0.3">
      <c r="A38" s="6">
        <v>1.19</v>
      </c>
      <c r="B38" s="192" t="s">
        <v>1003</v>
      </c>
      <c r="C38" s="193"/>
      <c r="D38" s="209"/>
      <c r="E38" s="210"/>
      <c r="F38" s="210"/>
      <c r="G38" s="210"/>
      <c r="H38" s="211"/>
      <c r="M38" s="122"/>
    </row>
    <row r="39" spans="1:13" x14ac:dyDescent="0.3">
      <c r="M39" s="122"/>
    </row>
    <row r="40" spans="1:13" x14ac:dyDescent="0.3">
      <c r="A40" s="6">
        <v>1.2</v>
      </c>
      <c r="B40" s="195" t="s">
        <v>1004</v>
      </c>
      <c r="C40" s="207"/>
      <c r="D40" s="189" t="s">
        <v>1005</v>
      </c>
      <c r="E40" s="190"/>
      <c r="F40" s="190"/>
      <c r="G40" s="190"/>
      <c r="H40" s="191"/>
      <c r="M40" s="122"/>
    </row>
    <row r="42" spans="1:13" ht="15.6" x14ac:dyDescent="0.3">
      <c r="A42" s="3" t="s">
        <v>1006</v>
      </c>
      <c r="B42" s="206" t="s">
        <v>1070</v>
      </c>
      <c r="C42" s="206"/>
      <c r="D42" s="206"/>
    </row>
    <row r="43" spans="1:13" x14ac:dyDescent="0.3">
      <c r="M43" s="122"/>
    </row>
    <row r="44" spans="1:13" ht="37.799999999999997" customHeight="1" x14ac:dyDescent="0.3">
      <c r="B44" s="205" t="s">
        <v>1263</v>
      </c>
      <c r="C44" s="205"/>
      <c r="D44" s="205"/>
      <c r="E44" s="205"/>
      <c r="F44" s="205"/>
      <c r="G44" s="205"/>
      <c r="H44" s="205"/>
      <c r="M44" s="122"/>
    </row>
    <row r="45" spans="1:13" x14ac:dyDescent="0.3">
      <c r="M45" s="122"/>
    </row>
    <row r="46" spans="1:13" x14ac:dyDescent="0.3">
      <c r="B46" s="20" t="s">
        <v>1007</v>
      </c>
      <c r="M46" s="122"/>
    </row>
    <row r="47" spans="1:13" x14ac:dyDescent="0.3">
      <c r="M47" s="122"/>
    </row>
    <row r="48" spans="1:13" ht="48.6" customHeight="1" x14ac:dyDescent="0.3">
      <c r="A48" s="12">
        <v>2.0099999999999998</v>
      </c>
      <c r="B48" s="192" t="s">
        <v>1089</v>
      </c>
      <c r="C48" s="192"/>
      <c r="D48" s="193"/>
      <c r="E48" s="144" t="s">
        <v>1050</v>
      </c>
      <c r="G48" s="223" t="str">
        <f>IF($E48="Ja","= vermutlich ein KI-System gemäss AI Act",IF($E48="Nein","= vermutlich kein KI-System gemäss AI Act",""))</f>
        <v/>
      </c>
      <c r="H48" s="223"/>
      <c r="I48" s="79">
        <f>IF(LEFT($G48,16)="= vermutlich ein",1,0)</f>
        <v>0</v>
      </c>
      <c r="M48" s="122"/>
    </row>
    <row r="49" spans="1:13" ht="133.80000000000001" customHeight="1" x14ac:dyDescent="0.3">
      <c r="A49" s="12">
        <v>2.02</v>
      </c>
      <c r="B49" s="192" t="s">
        <v>1277</v>
      </c>
      <c r="C49" s="192"/>
      <c r="D49" s="193"/>
      <c r="E49" s="189" t="s">
        <v>1050</v>
      </c>
      <c r="F49" s="191"/>
      <c r="G49" s="222" t="str">
        <f>IFERROR(VLOOKUP(LEFT($E49,250),'AI Act D'!$B$9:$D$18,3,FALSE),"")</f>
        <v/>
      </c>
      <c r="H49" s="222"/>
      <c r="I49" s="79">
        <f>IF(LEFT($G49,18)="= wahrscheinlich v",1,0)</f>
        <v>0</v>
      </c>
      <c r="M49" s="122"/>
    </row>
    <row r="50" spans="1:13" ht="141" customHeight="1" x14ac:dyDescent="0.3">
      <c r="A50" s="6">
        <v>2.0299999999999998</v>
      </c>
      <c r="B50" s="192" t="s">
        <v>1278</v>
      </c>
      <c r="C50" s="192"/>
      <c r="D50" s="193"/>
      <c r="E50" s="189" t="s">
        <v>1050</v>
      </c>
      <c r="F50" s="191"/>
      <c r="G50" s="222" t="str">
        <f>IF(ISBLANK(IFERROR(VLOOKUP(LEFT($E50,250),'AI Act D'!$B$19:$D$35,3,FALSE),"")),"",IFERROR(VLOOKUP(LEFT($E50,250),'AI Act D'!$B$19:$D$35,3,FALSE),""))</f>
        <v/>
      </c>
      <c r="H50" s="222"/>
      <c r="I50" s="142">
        <f>IF(LEFT($G50,18)="= wahrscheinlich e",1,0)</f>
        <v>0</v>
      </c>
      <c r="M50" s="122"/>
    </row>
    <row r="51" spans="1:13" ht="61.2" customHeight="1" x14ac:dyDescent="0.3">
      <c r="A51" s="6">
        <v>2.04</v>
      </c>
      <c r="B51" s="192" t="s">
        <v>1264</v>
      </c>
      <c r="C51" s="192"/>
      <c r="D51" s="193"/>
      <c r="E51" s="145" t="s">
        <v>1050</v>
      </c>
      <c r="F51" s="141" t="str">
        <f>IF($E$51="Ja","(der Anbieter muss dies dokumentieren und das System registrieren)","")</f>
        <v/>
      </c>
      <c r="G51" s="222" t="str">
        <f>IF($I$50=0,"",IF($E51="Ja","= in Ihrem speziellen Fall ist das KI-System vermutlich nicht hochriskant",IF($E51="(wählen)","","= die de-minimis Ausnahme für Hochrisiko-KI-Systeme findet keine Anwendung")))</f>
        <v/>
      </c>
      <c r="H51" s="222"/>
      <c r="I51" s="79">
        <f>IF($I$50=0,0,IF($E51="Ja",0,1))</f>
        <v>0</v>
      </c>
      <c r="M51" s="122"/>
    </row>
    <row r="52" spans="1:13" ht="47.4" customHeight="1" x14ac:dyDescent="0.3">
      <c r="A52" s="6">
        <v>2.0499999999999998</v>
      </c>
      <c r="B52" s="192" t="s">
        <v>1072</v>
      </c>
      <c r="C52" s="192"/>
      <c r="D52" s="193"/>
      <c r="E52" s="146" t="s">
        <v>1050</v>
      </c>
      <c r="F52" s="141"/>
      <c r="G52" s="223" t="str">
        <f>IF($E52="Ja","= vermutlich ein Allzweck-KI-Modell gemäss AI Act","")</f>
        <v/>
      </c>
      <c r="H52" s="223"/>
      <c r="I52" s="79">
        <f>IF(LEFT($G52,1)="=",1,0)</f>
        <v>0</v>
      </c>
      <c r="M52" s="122"/>
    </row>
    <row r="53" spans="1:13" ht="15" customHeight="1" x14ac:dyDescent="0.3">
      <c r="A53" s="6"/>
      <c r="B53" s="40"/>
      <c r="C53" s="40"/>
      <c r="D53" s="41"/>
      <c r="E53" s="41"/>
      <c r="F53" s="141"/>
      <c r="G53" s="120"/>
      <c r="H53" s="120"/>
      <c r="I53" s="79"/>
      <c r="M53" s="122"/>
    </row>
    <row r="54" spans="1:13" ht="15.6" customHeight="1" x14ac:dyDescent="0.3">
      <c r="A54" s="6"/>
      <c r="B54" s="1" t="s">
        <v>1088</v>
      </c>
      <c r="C54" s="40"/>
      <c r="D54" s="41"/>
      <c r="E54" s="41"/>
      <c r="F54" s="141"/>
      <c r="G54" s="120"/>
      <c r="H54" s="120"/>
      <c r="I54" s="79"/>
      <c r="M54" s="122"/>
    </row>
    <row r="55" spans="1:13" ht="11.4" customHeight="1" x14ac:dyDescent="0.3">
      <c r="A55" s="6"/>
      <c r="B55" s="40"/>
      <c r="C55" s="40"/>
      <c r="D55" s="41"/>
      <c r="E55" s="119" t="s">
        <v>1008</v>
      </c>
      <c r="F55" s="119" t="s">
        <v>1083</v>
      </c>
      <c r="G55" s="120"/>
      <c r="H55" s="120"/>
      <c r="I55" s="79"/>
      <c r="M55" s="122"/>
    </row>
    <row r="56" spans="1:13" ht="31.2" customHeight="1" x14ac:dyDescent="0.3">
      <c r="A56" s="6" t="s">
        <v>670</v>
      </c>
      <c r="B56" s="192" t="s">
        <v>1009</v>
      </c>
      <c r="C56" s="192"/>
      <c r="D56" s="193"/>
      <c r="E56" s="126" t="s">
        <v>1050</v>
      </c>
      <c r="F56" s="143"/>
      <c r="G56" s="222" t="str">
        <f>IF(AND($E$56="Ja",OR($E$57="Ja",$E$58="Ja"),$E$59="Ja"),"= Sie fallen vermutlich als Anbieter unter den AI Act","")</f>
        <v/>
      </c>
      <c r="H56" s="222"/>
      <c r="I56" s="56"/>
      <c r="M56" s="122"/>
    </row>
    <row r="57" spans="1:13" x14ac:dyDescent="0.3">
      <c r="A57" s="6">
        <v>2.0699999999999998</v>
      </c>
      <c r="B57" s="192" t="s">
        <v>1075</v>
      </c>
      <c r="C57" s="192"/>
      <c r="D57" s="193"/>
      <c r="E57" s="126" t="s">
        <v>1050</v>
      </c>
      <c r="F57" s="143"/>
      <c r="G57" s="222"/>
      <c r="H57" s="222"/>
      <c r="I57" s="56"/>
      <c r="M57" s="122"/>
    </row>
    <row r="58" spans="1:13" x14ac:dyDescent="0.3">
      <c r="A58" s="6">
        <v>2.08</v>
      </c>
      <c r="B58" s="192" t="s">
        <v>1091</v>
      </c>
      <c r="C58" s="192"/>
      <c r="D58" s="193"/>
      <c r="E58" s="126" t="s">
        <v>1050</v>
      </c>
      <c r="F58" s="143"/>
      <c r="G58" s="222"/>
      <c r="H58" s="222"/>
      <c r="I58" s="56"/>
      <c r="M58" s="122"/>
    </row>
    <row r="59" spans="1:13" ht="29.4" customHeight="1" x14ac:dyDescent="0.3">
      <c r="A59" s="6">
        <v>2.09</v>
      </c>
      <c r="B59" s="192" t="s">
        <v>1073</v>
      </c>
      <c r="C59" s="192"/>
      <c r="D59" s="193"/>
      <c r="E59" s="126" t="s">
        <v>1050</v>
      </c>
      <c r="F59" s="143"/>
      <c r="G59" s="222"/>
      <c r="H59" s="222"/>
      <c r="I59" s="56"/>
      <c r="M59" s="122"/>
    </row>
    <row r="60" spans="1:13" ht="31.8" customHeight="1" x14ac:dyDescent="0.3">
      <c r="A60" s="6" t="s">
        <v>831</v>
      </c>
      <c r="B60" s="192" t="s">
        <v>1265</v>
      </c>
      <c r="C60" s="192"/>
      <c r="D60" s="193"/>
      <c r="E60" s="126" t="s">
        <v>1050</v>
      </c>
      <c r="F60" s="143"/>
      <c r="G60" s="222" t="str">
        <f>IF($I51=0,"",IF(OR($E$60="Ja",$E$61="Ja",$E$62="Ja",$E$63="Ja"),"= Sie fallen vermutlich als Anbieter im Sinne von Art. 25 unter den AI Act",""))</f>
        <v/>
      </c>
      <c r="H60" s="222"/>
      <c r="I60" s="56"/>
      <c r="M60" s="122"/>
    </row>
    <row r="61" spans="1:13" ht="29.4" customHeight="1" x14ac:dyDescent="0.3">
      <c r="A61" s="6" t="s">
        <v>833</v>
      </c>
      <c r="B61" s="192" t="s">
        <v>1266</v>
      </c>
      <c r="C61" s="192"/>
      <c r="D61" s="193"/>
      <c r="E61" s="126" t="s">
        <v>1050</v>
      </c>
      <c r="F61" s="143"/>
      <c r="G61" s="222"/>
      <c r="H61" s="222"/>
      <c r="I61" s="56"/>
      <c r="M61" s="122"/>
    </row>
    <row r="62" spans="1:13" ht="46.8" customHeight="1" x14ac:dyDescent="0.3">
      <c r="A62" s="6" t="s">
        <v>834</v>
      </c>
      <c r="B62" s="192" t="s">
        <v>1079</v>
      </c>
      <c r="C62" s="192"/>
      <c r="D62" s="193"/>
      <c r="E62" s="126" t="s">
        <v>1050</v>
      </c>
      <c r="F62" s="143"/>
      <c r="G62" s="222"/>
      <c r="H62" s="222"/>
      <c r="I62" s="56"/>
      <c r="M62" s="122"/>
    </row>
    <row r="63" spans="1:13" ht="63" customHeight="1" x14ac:dyDescent="0.3">
      <c r="A63" s="6">
        <v>2.13</v>
      </c>
      <c r="B63" s="192" t="s">
        <v>1081</v>
      </c>
      <c r="C63" s="192"/>
      <c r="D63" s="193"/>
      <c r="E63" s="126" t="s">
        <v>1050</v>
      </c>
      <c r="F63" s="143"/>
      <c r="G63" s="222"/>
      <c r="H63" s="222"/>
      <c r="I63" s="79">
        <f>IF($G$56&amp;$G$60="",0,1)</f>
        <v>0</v>
      </c>
      <c r="M63" s="122"/>
    </row>
    <row r="64" spans="1:13" ht="33" customHeight="1" x14ac:dyDescent="0.3">
      <c r="A64" s="6">
        <v>2.14</v>
      </c>
      <c r="B64" s="192" t="s">
        <v>1010</v>
      </c>
      <c r="C64" s="192"/>
      <c r="D64" s="193"/>
      <c r="E64" s="126" t="s">
        <v>1050</v>
      </c>
      <c r="F64" s="143"/>
      <c r="G64" s="222" t="str">
        <f>IF($I$63=0,IF($E$64="Ja","= Sie fallen vermutlich als Händler unter den AI Act",""),"")</f>
        <v/>
      </c>
      <c r="H64" s="222"/>
      <c r="I64" s="79">
        <f>IF($G$64="",0,1)</f>
        <v>0</v>
      </c>
      <c r="M64" s="122"/>
    </row>
    <row r="65" spans="1:13" ht="33" customHeight="1" x14ac:dyDescent="0.3">
      <c r="A65" s="6">
        <v>2.15</v>
      </c>
      <c r="B65" s="192" t="s">
        <v>1082</v>
      </c>
      <c r="C65" s="192"/>
      <c r="D65" s="193"/>
      <c r="E65" s="126" t="s">
        <v>1050</v>
      </c>
      <c r="F65" s="143"/>
      <c r="G65" s="222" t="str">
        <f>IF($E$65="Ja","= Sie fallen vermutlich als Einführer unter den AI Act","")</f>
        <v/>
      </c>
      <c r="H65" s="222"/>
      <c r="I65" s="79">
        <f>IF($G$65="",0,1)</f>
        <v>0</v>
      </c>
      <c r="M65" s="122"/>
    </row>
    <row r="66" spans="1:13" x14ac:dyDescent="0.3">
      <c r="F66" s="77"/>
      <c r="G66" s="77"/>
      <c r="H66" s="77"/>
      <c r="I66" s="56"/>
      <c r="M66" s="122"/>
    </row>
    <row r="67" spans="1:13" ht="26.4" customHeight="1" x14ac:dyDescent="0.3">
      <c r="B67" s="227" t="s">
        <v>1071</v>
      </c>
      <c r="C67" s="227"/>
      <c r="D67" s="227"/>
      <c r="E67" s="227"/>
      <c r="F67" s="227"/>
      <c r="G67" s="227"/>
      <c r="H67" s="227"/>
      <c r="I67" s="56"/>
      <c r="M67" s="122"/>
    </row>
    <row r="68" spans="1:13" x14ac:dyDescent="0.3">
      <c r="F68" s="77"/>
      <c r="G68" s="77"/>
      <c r="H68" s="77"/>
      <c r="I68" s="56"/>
      <c r="M68" s="122"/>
    </row>
    <row r="69" spans="1:13" x14ac:dyDescent="0.3">
      <c r="A69" s="6"/>
      <c r="B69" s="1" t="s">
        <v>1087</v>
      </c>
      <c r="C69" s="40"/>
      <c r="D69" s="41"/>
      <c r="E69" s="41"/>
      <c r="F69" s="141"/>
      <c r="G69" s="120"/>
      <c r="H69" s="120"/>
      <c r="I69" s="79"/>
      <c r="M69" s="122"/>
    </row>
    <row r="70" spans="1:13" x14ac:dyDescent="0.3">
      <c r="A70" s="6"/>
      <c r="B70" s="40"/>
      <c r="C70" s="40"/>
      <c r="D70" s="41"/>
      <c r="E70" s="119" t="s">
        <v>1008</v>
      </c>
      <c r="F70" s="119" t="s">
        <v>1083</v>
      </c>
      <c r="G70" s="120"/>
      <c r="H70" s="120"/>
      <c r="I70" s="79"/>
      <c r="M70" s="122"/>
    </row>
    <row r="71" spans="1:13" ht="14.4" customHeight="1" x14ac:dyDescent="0.3">
      <c r="A71" s="6">
        <v>2.16</v>
      </c>
      <c r="B71" s="192" t="s">
        <v>1092</v>
      </c>
      <c r="C71" s="192"/>
      <c r="D71" s="193"/>
      <c r="E71" s="126" t="s">
        <v>1050</v>
      </c>
      <c r="F71" s="143"/>
      <c r="G71" s="226" t="str">
        <f>IF(AND($E$71="Ja",OR($E$72="Ja",$E$73="Ja")),"= Sie fallen vermutlich als Betreiber unter den AI Act","")</f>
        <v/>
      </c>
      <c r="H71" s="222"/>
      <c r="I71" s="56"/>
      <c r="M71" s="122"/>
    </row>
    <row r="72" spans="1:13" x14ac:dyDescent="0.3">
      <c r="A72" s="6" t="s">
        <v>850</v>
      </c>
      <c r="B72" s="192" t="s">
        <v>1093</v>
      </c>
      <c r="C72" s="192"/>
      <c r="D72" s="193"/>
      <c r="E72" s="126" t="s">
        <v>1050</v>
      </c>
      <c r="F72" s="143"/>
      <c r="G72" s="226"/>
      <c r="H72" s="222"/>
      <c r="I72" s="56"/>
      <c r="M72" s="122"/>
    </row>
    <row r="73" spans="1:13" x14ac:dyDescent="0.3">
      <c r="A73" s="6">
        <v>2.1800000000000002</v>
      </c>
      <c r="B73" s="192" t="s">
        <v>1094</v>
      </c>
      <c r="C73" s="192"/>
      <c r="D73" s="193"/>
      <c r="E73" s="126" t="s">
        <v>1050</v>
      </c>
      <c r="F73" s="143"/>
      <c r="G73" s="226"/>
      <c r="H73" s="222"/>
      <c r="I73" s="79">
        <f>IF($G$71="",0,1)</f>
        <v>0</v>
      </c>
      <c r="M73" s="122"/>
    </row>
    <row r="74" spans="1:13" x14ac:dyDescent="0.3">
      <c r="F74" s="77"/>
      <c r="G74" s="77"/>
      <c r="H74" s="77"/>
      <c r="M74" s="122"/>
    </row>
    <row r="75" spans="1:13" x14ac:dyDescent="0.3">
      <c r="B75" s="1" t="s">
        <v>1011</v>
      </c>
      <c r="F75" s="77"/>
      <c r="G75" s="77"/>
      <c r="H75" s="77"/>
      <c r="M75" s="122"/>
    </row>
    <row r="76" spans="1:13" x14ac:dyDescent="0.3">
      <c r="B76" s="1"/>
      <c r="F76" s="77"/>
      <c r="G76" s="77"/>
      <c r="H76" s="77"/>
      <c r="M76" s="122"/>
    </row>
    <row r="77" spans="1:13" ht="15.6" customHeight="1" x14ac:dyDescent="0.3">
      <c r="B77" t="s">
        <v>1085</v>
      </c>
      <c r="D77" s="224" t="str">
        <f>IF(AND($I$48+$I$52&gt;0,SUM($I$63:$I$73)&gt;0),"Ja","Nein")</f>
        <v>Nein</v>
      </c>
      <c r="E77" s="225"/>
      <c r="F77" s="77"/>
      <c r="G77" s="77"/>
      <c r="H77" s="77"/>
    </row>
    <row r="78" spans="1:13" ht="15.6" customHeight="1" x14ac:dyDescent="0.3">
      <c r="B78" t="s">
        <v>1086</v>
      </c>
      <c r="D78" s="224" t="str">
        <f>SUBSTITUTE($F$78,MID($F$78,1,1),UPPER(MID($F$78,1,1)),1)</f>
        <v>Anderes KI-System</v>
      </c>
      <c r="E78" s="225"/>
      <c r="F78" s="56" t="str">
        <f>LEFT(IF($I$49=1,"verbotene KI-Anwendung, ",IF($I$51=1,"Hochrisiko-KI-System, ","anderes KI-System, "))&amp;IF($I52=1,"Allzweck KI-Modell, ",""),LEN(IF($I$49=1,"verbotene KI-Anwendung, ",IF($I$51=1,"Hochrisiko-KI-System, ","anderes KI-System, "))&amp;IF($I52=1,"Allzweck KI-Modell, ",""))-2)</f>
        <v>anderes KI-System</v>
      </c>
      <c r="G78" s="77"/>
      <c r="H78" s="77"/>
    </row>
    <row r="79" spans="1:13" ht="15.6" customHeight="1" x14ac:dyDescent="0.3">
      <c r="B79" t="s">
        <v>1051</v>
      </c>
      <c r="D79" s="224" t="str">
        <f>IFERROR(LEFT(IF($I$63=1,"Anbieter, ","")&amp;IF($I$64=1,"Händler, ","")&amp;IF($I$65=1,"Einführer, ","")&amp;IF($I$73=1,"Betreiber, ",""),LEN(IF($I$63=1,"Anbieter, ","")&amp;IF($I$64=1,"Händler, ","")&amp;IF($I$65=1,"Einführer, ","")&amp;IF($I$73=1,"Betreiber, ",""))-2),"Keine")</f>
        <v>Keine</v>
      </c>
      <c r="E79" s="225"/>
      <c r="F79" s="77"/>
      <c r="G79" s="77"/>
      <c r="H79" s="77"/>
    </row>
    <row r="81" spans="1:13" ht="15.6" x14ac:dyDescent="0.3">
      <c r="A81" s="3" t="s">
        <v>1012</v>
      </c>
      <c r="B81" s="206" t="s">
        <v>1109</v>
      </c>
      <c r="C81" s="206"/>
      <c r="D81" s="206"/>
    </row>
    <row r="83" spans="1:13" ht="37.950000000000003" customHeight="1" x14ac:dyDescent="0.3">
      <c r="B83" s="205" t="s">
        <v>1110</v>
      </c>
      <c r="C83" s="205"/>
      <c r="D83" s="205"/>
      <c r="E83" s="205"/>
      <c r="F83" s="205"/>
      <c r="G83" s="205"/>
      <c r="H83" s="205"/>
      <c r="I83" s="109"/>
    </row>
    <row r="85" spans="1:13" ht="15.6" customHeight="1" x14ac:dyDescent="0.3">
      <c r="A85" s="6" t="s">
        <v>863</v>
      </c>
      <c r="B85" s="192" t="s">
        <v>1112</v>
      </c>
      <c r="C85" s="192"/>
      <c r="D85" s="193"/>
      <c r="E85" s="126" t="s">
        <v>1050</v>
      </c>
      <c r="M85" s="122"/>
    </row>
    <row r="86" spans="1:13" ht="15" customHeight="1" x14ac:dyDescent="0.3">
      <c r="A86" s="6" t="s">
        <v>864</v>
      </c>
      <c r="B86" s="192" t="s">
        <v>1113</v>
      </c>
      <c r="C86" s="192"/>
      <c r="D86" s="193"/>
      <c r="E86" s="126" t="s">
        <v>1050</v>
      </c>
      <c r="M86" s="122"/>
    </row>
    <row r="87" spans="1:13" ht="15.6" customHeight="1" x14ac:dyDescent="0.3">
      <c r="A87" s="6" t="s">
        <v>865</v>
      </c>
      <c r="B87" s="192" t="s">
        <v>1114</v>
      </c>
      <c r="C87" s="192"/>
      <c r="D87" s="193"/>
      <c r="E87" s="126" t="s">
        <v>1050</v>
      </c>
      <c r="M87" s="122"/>
    </row>
    <row r="88" spans="1:13" ht="27.6" customHeight="1" x14ac:dyDescent="0.3">
      <c r="A88" s="6" t="s">
        <v>866</v>
      </c>
      <c r="B88" s="192" t="s">
        <v>1115</v>
      </c>
      <c r="C88" s="192"/>
      <c r="D88" s="193"/>
      <c r="E88" s="126" t="s">
        <v>1050</v>
      </c>
      <c r="M88" s="122"/>
    </row>
    <row r="89" spans="1:13" ht="16.2" customHeight="1" x14ac:dyDescent="0.3">
      <c r="A89" s="6" t="s">
        <v>867</v>
      </c>
      <c r="B89" s="192" t="s">
        <v>1116</v>
      </c>
      <c r="C89" s="192"/>
      <c r="D89" s="193"/>
      <c r="E89" s="126" t="s">
        <v>1050</v>
      </c>
      <c r="M89" s="122"/>
    </row>
    <row r="90" spans="1:13" s="132" customFormat="1" ht="14.4" customHeight="1" x14ac:dyDescent="0.3">
      <c r="A90" s="176" t="s">
        <v>1111</v>
      </c>
      <c r="B90" s="192" t="s">
        <v>1267</v>
      </c>
      <c r="C90" s="192"/>
      <c r="D90" s="193"/>
      <c r="E90" s="126" t="s">
        <v>1050</v>
      </c>
      <c r="M90" s="133"/>
    </row>
    <row r="91" spans="1:13" ht="15" customHeight="1" x14ac:dyDescent="0.3">
      <c r="A91" s="6" t="s">
        <v>868</v>
      </c>
      <c r="B91" s="192" t="s">
        <v>1117</v>
      </c>
      <c r="C91" s="192"/>
      <c r="D91" s="193"/>
      <c r="E91" s="126" t="s">
        <v>1050</v>
      </c>
      <c r="M91" s="122"/>
    </row>
    <row r="92" spans="1:13" ht="13.8" customHeight="1" x14ac:dyDescent="0.3">
      <c r="A92" s="6" t="s">
        <v>869</v>
      </c>
      <c r="B92" s="192" t="s">
        <v>1118</v>
      </c>
      <c r="C92" s="192"/>
      <c r="D92" s="193"/>
      <c r="E92" s="126" t="s">
        <v>1050</v>
      </c>
      <c r="M92" s="122"/>
    </row>
    <row r="93" spans="1:13" x14ac:dyDescent="0.3">
      <c r="A93" s="6"/>
      <c r="B93" s="192"/>
      <c r="C93" s="192"/>
      <c r="D93" s="193"/>
      <c r="E93" s="56" t="str">
        <f>$E$85&amp;$E$86&amp;$E$87&amp;$E$88&amp;$E$89&amp;$E$92&amp;E$90&amp;E$91</f>
        <v>(wählen)(wählen)(wählen)(wählen)(wählen)(wählen)(wählen)(wählen)</v>
      </c>
      <c r="M93" s="122"/>
    </row>
    <row r="94" spans="1:13" ht="14.4" customHeight="1" x14ac:dyDescent="0.3">
      <c r="A94" s="6"/>
      <c r="B94" s="208" t="s">
        <v>1013</v>
      </c>
      <c r="C94" s="208"/>
      <c r="D94" s="217" t="str">
        <f>IF(IFERROR(FIND("(wählen)",$E$93),0)&gt;0,"(bitte treffen Sie oben Ihre Wahl)",IF(IFERROR(FIND("Ja",$E$93),0)&gt;0,"Aufgrund der Risikofaktoren Ihrer Anwendung wird eine umfassende Risikobeurteilung (GAIRA) empfohlen.","Ihre Anwendung scheint nur ein beschränktes Risiko aufzuweisen; Sie können nachfolgend fortfahren (GAIRA Light)."))</f>
        <v>(bitte treffen Sie oben Ihre Wahl)</v>
      </c>
      <c r="E94" s="218"/>
      <c r="F94" s="218"/>
      <c r="G94" s="218"/>
      <c r="H94" s="121" t="s">
        <v>1014</v>
      </c>
      <c r="M94" s="122"/>
    </row>
    <row r="95" spans="1:13" ht="14.4" customHeight="1" x14ac:dyDescent="0.3">
      <c r="A95" s="6"/>
      <c r="B95" s="116"/>
      <c r="C95" s="116"/>
      <c r="D95" s="116"/>
      <c r="E95" s="116"/>
      <c r="F95" s="116"/>
      <c r="G95" s="116"/>
      <c r="M95" s="122"/>
    </row>
    <row r="96" spans="1:13" ht="13.95" customHeight="1" x14ac:dyDescent="0.3">
      <c r="A96" s="6"/>
      <c r="B96" s="208" t="s">
        <v>1015</v>
      </c>
      <c r="C96" s="212"/>
      <c r="D96" s="83" t="s">
        <v>1050</v>
      </c>
      <c r="E96" s="120" t="s">
        <v>1130</v>
      </c>
      <c r="F96" s="219"/>
      <c r="G96" s="219"/>
      <c r="H96" s="219"/>
      <c r="M96" s="122"/>
    </row>
    <row r="97" spans="1:13" ht="18" customHeight="1" x14ac:dyDescent="0.3">
      <c r="D97" s="7" t="s">
        <v>1129</v>
      </c>
      <c r="F97" s="220"/>
      <c r="G97" s="220"/>
      <c r="H97" s="220"/>
      <c r="M97" s="122"/>
    </row>
    <row r="99" spans="1:13" ht="15.6" x14ac:dyDescent="0.3">
      <c r="A99" s="3" t="s">
        <v>1016</v>
      </c>
      <c r="B99" s="206" t="s">
        <v>1017</v>
      </c>
      <c r="C99" s="206"/>
      <c r="D99" s="206"/>
    </row>
    <row r="101" spans="1:13" ht="96.6" customHeight="1" x14ac:dyDescent="0.3">
      <c r="B101" s="205" t="s">
        <v>1131</v>
      </c>
      <c r="C101" s="205"/>
      <c r="D101" s="205"/>
      <c r="E101" s="205"/>
      <c r="F101" s="205"/>
      <c r="G101" s="205"/>
      <c r="H101" s="205"/>
      <c r="I101" s="109"/>
    </row>
    <row r="102" spans="1:13" x14ac:dyDescent="0.3">
      <c r="B102" s="208" t="s">
        <v>1119</v>
      </c>
      <c r="C102" s="208"/>
      <c r="D102" s="208"/>
      <c r="E102" s="117"/>
      <c r="F102" s="117"/>
      <c r="G102" s="117"/>
      <c r="H102" s="117"/>
      <c r="I102" s="109"/>
    </row>
    <row r="103" spans="1:13" ht="15.6" customHeight="1" x14ac:dyDescent="0.3">
      <c r="B103" s="117"/>
      <c r="C103" s="117"/>
      <c r="D103" s="117"/>
      <c r="E103" s="119" t="s">
        <v>1008</v>
      </c>
      <c r="F103" s="119" t="s">
        <v>1018</v>
      </c>
      <c r="G103" s="117"/>
      <c r="H103" s="117"/>
      <c r="I103" s="109"/>
    </row>
    <row r="104" spans="1:13" ht="16.95" customHeight="1" x14ac:dyDescent="0.3">
      <c r="A104" s="29">
        <v>4.01</v>
      </c>
      <c r="B104" s="192" t="s">
        <v>1122</v>
      </c>
      <c r="C104" s="192"/>
      <c r="D104" s="193"/>
      <c r="E104" s="126" t="s">
        <v>1050</v>
      </c>
      <c r="F104" s="127"/>
      <c r="H104" s="118"/>
      <c r="I104" s="109"/>
      <c r="L104" s="56"/>
      <c r="M104" s="124">
        <f>IF($K103="N/A",0,IF(OR($E104="(wählen)",$E104=""),1,0))</f>
        <v>1</v>
      </c>
    </row>
    <row r="105" spans="1:13" ht="32.4" customHeight="1" x14ac:dyDescent="0.3">
      <c r="A105" s="29">
        <f>IF($K105="N/A","",MAX($A$104:$A104)+0.01)</f>
        <v>4.0199999999999996</v>
      </c>
      <c r="B105" s="192" t="s">
        <v>1139</v>
      </c>
      <c r="C105" s="192"/>
      <c r="D105" s="193"/>
      <c r="E105" s="126" t="s">
        <v>1050</v>
      </c>
      <c r="F105" s="127"/>
      <c r="H105" s="118"/>
      <c r="I105" s="109"/>
      <c r="K105" s="118" t="str">
        <f>IF($E$104="Nein","N/A","")</f>
        <v/>
      </c>
      <c r="L105" s="56"/>
      <c r="M105" s="124">
        <f t="shared" ref="M105:M110" si="0">IF($K105="N/A",0,IF(OR($E105="(wählen)",$E105=""),1,0))</f>
        <v>1</v>
      </c>
    </row>
    <row r="106" spans="1:13" ht="30.6" customHeight="1" x14ac:dyDescent="0.3">
      <c r="A106" s="29">
        <f>IF($K106="N/A","",MAX($A$104:$A105)+0.01)</f>
        <v>4.0299999999999994</v>
      </c>
      <c r="B106" s="192" t="s">
        <v>1123</v>
      </c>
      <c r="C106" s="192"/>
      <c r="D106" s="193"/>
      <c r="E106" s="126" t="s">
        <v>1050</v>
      </c>
      <c r="F106" s="127"/>
      <c r="H106" s="118"/>
      <c r="I106" s="109"/>
      <c r="K106" s="118" t="str">
        <f>IF($E$104="Nein","N/A","")</f>
        <v/>
      </c>
      <c r="L106" s="56"/>
      <c r="M106" s="124">
        <f t="shared" si="0"/>
        <v>1</v>
      </c>
    </row>
    <row r="107" spans="1:13" ht="16.95" customHeight="1" x14ac:dyDescent="0.3">
      <c r="A107" s="29">
        <f>IF($K107="N/A","",MAX($A$104:$A106)+0.01)</f>
        <v>4.0399999999999991</v>
      </c>
      <c r="B107" s="192" t="s">
        <v>1124</v>
      </c>
      <c r="C107" s="192"/>
      <c r="D107" s="193"/>
      <c r="E107" s="126" t="s">
        <v>1050</v>
      </c>
      <c r="F107" s="127"/>
      <c r="H107" s="118"/>
      <c r="I107" s="109"/>
      <c r="K107" s="118" t="str">
        <f>IF($E$104="Nein","N/A","")</f>
        <v/>
      </c>
      <c r="L107" s="56"/>
      <c r="M107" s="124">
        <f t="shared" si="0"/>
        <v>1</v>
      </c>
    </row>
    <row r="108" spans="1:13" ht="16.95" customHeight="1" x14ac:dyDescent="0.3">
      <c r="A108" s="29">
        <f>IF($K108="N/A","",MAX($A$104:$A107)+0.01)</f>
        <v>4.0499999999999989</v>
      </c>
      <c r="B108" s="192" t="s">
        <v>1019</v>
      </c>
      <c r="C108" s="192"/>
      <c r="D108" s="193"/>
      <c r="E108" s="126" t="s">
        <v>1050</v>
      </c>
      <c r="F108" s="127"/>
      <c r="G108" s="117"/>
      <c r="H108" s="118"/>
      <c r="I108" s="109"/>
      <c r="K108" s="118"/>
      <c r="L108" s="56"/>
      <c r="M108" s="124">
        <f t="shared" si="0"/>
        <v>1</v>
      </c>
    </row>
    <row r="109" spans="1:13" ht="16.95" customHeight="1" x14ac:dyDescent="0.3">
      <c r="A109" s="29">
        <f>IF($K109="N/A","",MAX($A$104:$A108)+0.01)</f>
        <v>4.0599999999999987</v>
      </c>
      <c r="B109" s="192" t="s">
        <v>1020</v>
      </c>
      <c r="C109" s="192"/>
      <c r="D109" s="193"/>
      <c r="E109" s="126" t="s">
        <v>1050</v>
      </c>
      <c r="F109" s="127"/>
      <c r="G109" s="117"/>
      <c r="H109" s="118"/>
      <c r="I109" s="109"/>
      <c r="K109" s="118"/>
      <c r="L109" s="56"/>
      <c r="M109" s="124">
        <f t="shared" si="0"/>
        <v>1</v>
      </c>
    </row>
    <row r="110" spans="1:13" ht="16.95" customHeight="1" x14ac:dyDescent="0.3">
      <c r="A110" s="29">
        <f>IF($K110="N/A","",MAX($A$104:$A109)+0.01)</f>
        <v>4.0699999999999985</v>
      </c>
      <c r="B110" s="192" t="s">
        <v>1229</v>
      </c>
      <c r="C110" s="192"/>
      <c r="D110" s="193"/>
      <c r="E110" s="126" t="s">
        <v>1050</v>
      </c>
      <c r="F110" s="127"/>
      <c r="G110" s="117"/>
      <c r="H110" s="118"/>
      <c r="I110" s="109"/>
      <c r="K110" s="118"/>
      <c r="L110" s="56"/>
      <c r="M110" s="124">
        <f t="shared" si="0"/>
        <v>1</v>
      </c>
    </row>
    <row r="111" spans="1:13" ht="16.95" customHeight="1" x14ac:dyDescent="0.3">
      <c r="F111" s="118"/>
      <c r="H111" s="118"/>
      <c r="L111" s="56"/>
      <c r="M111" s="56"/>
    </row>
    <row r="112" spans="1:13" ht="16.95" customHeight="1" x14ac:dyDescent="0.3">
      <c r="B112" s="208" t="s">
        <v>1121</v>
      </c>
      <c r="C112" s="208"/>
      <c r="D112" s="117"/>
      <c r="E112" s="117"/>
      <c r="F112" s="118"/>
      <c r="H112" s="118"/>
      <c r="L112" s="56"/>
      <c r="M112" s="56"/>
    </row>
    <row r="113" spans="1:13" ht="16.95" customHeight="1" x14ac:dyDescent="0.3">
      <c r="B113" s="117"/>
      <c r="C113" s="117"/>
      <c r="D113" s="117"/>
      <c r="E113" s="119" t="s">
        <v>1008</v>
      </c>
      <c r="F113" s="119" t="s">
        <v>1125</v>
      </c>
      <c r="G113" s="119" t="s">
        <v>1021</v>
      </c>
      <c r="H113" s="119" t="s">
        <v>1126</v>
      </c>
      <c r="I113" s="119" t="s">
        <v>1127</v>
      </c>
      <c r="J113" s="119" t="s">
        <v>1022</v>
      </c>
      <c r="L113" s="56"/>
      <c r="M113" s="56"/>
    </row>
    <row r="114" spans="1:13" ht="16.2" customHeight="1" x14ac:dyDescent="0.3">
      <c r="A114" s="29">
        <f>IF($K114="N/A","",MAX($A$104:$A113)+0.01)</f>
        <v>4.0799999999999983</v>
      </c>
      <c r="B114" s="192" t="s">
        <v>1140</v>
      </c>
      <c r="C114" s="192"/>
      <c r="D114" s="193"/>
      <c r="E114" s="126" t="s">
        <v>1050</v>
      </c>
      <c r="F114" s="127"/>
      <c r="G114" s="128" t="str">
        <f t="shared" ref="G114:G121" si="1">IF($K114="N/A","",IF($E114="Ja","OK",IF($E114="(wählen)","","Warnung!")))</f>
        <v/>
      </c>
      <c r="H114" s="126" t="s">
        <v>1050</v>
      </c>
      <c r="I114" s="47"/>
      <c r="J114" s="126" t="s">
        <v>1050</v>
      </c>
      <c r="K114" s="129" t="str">
        <f>IF(OR($E$104="Nein",$E$109="Nein"),"N/A","")</f>
        <v/>
      </c>
      <c r="L114" s="56">
        <f t="shared" ref="L114:L121" si="2">IF($K114="N/A",0,IF($G114="OK",0,IF(AND($J114="Akzeptiert",NOT($H114="")),0,1)))</f>
        <v>1</v>
      </c>
      <c r="M114" s="124">
        <f t="shared" ref="M114:M121" si="3">IF($K114="N/A",0,IF(OR($E114="(wählen)",$E114=""),1,0))</f>
        <v>1</v>
      </c>
    </row>
    <row r="115" spans="1:13" ht="16.2" customHeight="1" x14ac:dyDescent="0.3">
      <c r="A115" s="29">
        <f>IF($K115="N/A","",MAX($A$104:$A114)+0.01)</f>
        <v>4.0899999999999981</v>
      </c>
      <c r="B115" s="192" t="s">
        <v>1120</v>
      </c>
      <c r="C115" s="192"/>
      <c r="D115" s="193"/>
      <c r="E115" s="126" t="s">
        <v>1050</v>
      </c>
      <c r="F115" s="127"/>
      <c r="G115" s="128" t="str">
        <f t="shared" si="1"/>
        <v/>
      </c>
      <c r="H115" s="126" t="s">
        <v>1050</v>
      </c>
      <c r="I115" s="47"/>
      <c r="J115" s="126" t="s">
        <v>1050</v>
      </c>
      <c r="K115" s="129" t="str">
        <f>IF(OR(OR($E$104="Nein",$E$105="Nein"),$E$109="Nein"),"N/A","")</f>
        <v/>
      </c>
      <c r="L115" s="56">
        <f t="shared" si="2"/>
        <v>1</v>
      </c>
      <c r="M115" s="124">
        <f t="shared" si="3"/>
        <v>1</v>
      </c>
    </row>
    <row r="116" spans="1:13" ht="16.2" customHeight="1" x14ac:dyDescent="0.3">
      <c r="A116" s="29">
        <f>IF($K116="N/A","",MAX($A$104:$A115)+0.01)</f>
        <v>4.0999999999999979</v>
      </c>
      <c r="B116" s="192" t="s">
        <v>1133</v>
      </c>
      <c r="C116" s="192"/>
      <c r="D116" s="193"/>
      <c r="E116" s="126" t="s">
        <v>1050</v>
      </c>
      <c r="F116" s="127"/>
      <c r="G116" s="128" t="str">
        <f t="shared" si="1"/>
        <v/>
      </c>
      <c r="H116" s="126" t="s">
        <v>1050</v>
      </c>
      <c r="I116" s="47"/>
      <c r="J116" s="126" t="s">
        <v>1050</v>
      </c>
      <c r="K116" s="129" t="str">
        <f>IF(OR($E$104="Nein",$E$108="Nein"),"N/A","")</f>
        <v/>
      </c>
      <c r="L116" s="56">
        <f t="shared" si="2"/>
        <v>1</v>
      </c>
      <c r="M116" s="124">
        <f t="shared" si="3"/>
        <v>1</v>
      </c>
    </row>
    <row r="117" spans="1:13" ht="18" customHeight="1" x14ac:dyDescent="0.3">
      <c r="A117" s="29">
        <f>IF($K117="N/A","",MAX($A$104:$A116)+0.01)</f>
        <v>4.1099999999999977</v>
      </c>
      <c r="B117" s="192" t="s">
        <v>1134</v>
      </c>
      <c r="C117" s="192"/>
      <c r="D117" s="193"/>
      <c r="E117" s="126" t="s">
        <v>1050</v>
      </c>
      <c r="F117" s="127"/>
      <c r="G117" s="128" t="str">
        <f t="shared" si="1"/>
        <v/>
      </c>
      <c r="H117" s="126" t="s">
        <v>1050</v>
      </c>
      <c r="I117" s="47"/>
      <c r="J117" s="126" t="s">
        <v>1050</v>
      </c>
      <c r="K117" s="129" t="str">
        <f>IF(OR($E$104="Nein",$E$110="Nein"),"N/A","")</f>
        <v/>
      </c>
      <c r="L117" s="56">
        <f t="shared" si="2"/>
        <v>1</v>
      </c>
      <c r="M117" s="124">
        <f t="shared" si="3"/>
        <v>1</v>
      </c>
    </row>
    <row r="118" spans="1:13" ht="16.95" customHeight="1" x14ac:dyDescent="0.3">
      <c r="A118" s="29">
        <f>IF($K118="N/A","",MAX($A$104:$A117)+0.01)</f>
        <v>4.1199999999999974</v>
      </c>
      <c r="B118" s="192" t="s">
        <v>1135</v>
      </c>
      <c r="C118" s="192"/>
      <c r="D118" s="193"/>
      <c r="E118" s="126" t="s">
        <v>1050</v>
      </c>
      <c r="F118" s="127"/>
      <c r="G118" s="128" t="str">
        <f t="shared" si="1"/>
        <v/>
      </c>
      <c r="H118" s="126" t="s">
        <v>1050</v>
      </c>
      <c r="I118" s="47"/>
      <c r="J118" s="126" t="s">
        <v>1050</v>
      </c>
      <c r="K118" s="129" t="str">
        <f>IF($E$109="Nein","N/A","")</f>
        <v/>
      </c>
      <c r="L118" s="56">
        <f t="shared" si="2"/>
        <v>1</v>
      </c>
      <c r="M118" s="124">
        <f t="shared" si="3"/>
        <v>1</v>
      </c>
    </row>
    <row r="119" spans="1:13" ht="18.600000000000001" customHeight="1" x14ac:dyDescent="0.3">
      <c r="A119" s="29">
        <f>IF($K119="N/A","",MAX($A$104:$A117)+0.01)</f>
        <v>4.1199999999999974</v>
      </c>
      <c r="B119" s="192" t="s">
        <v>1136</v>
      </c>
      <c r="C119" s="192"/>
      <c r="D119" s="193"/>
      <c r="E119" s="126" t="s">
        <v>1050</v>
      </c>
      <c r="F119" s="127"/>
      <c r="G119" s="128" t="str">
        <f t="shared" si="1"/>
        <v/>
      </c>
      <c r="H119" s="126" t="s">
        <v>1050</v>
      </c>
      <c r="I119" s="47"/>
      <c r="J119" s="126" t="s">
        <v>1050</v>
      </c>
      <c r="K119" s="129" t="str">
        <f>IF($E$109="Nein","N/A","")</f>
        <v/>
      </c>
      <c r="L119" s="56">
        <f t="shared" si="2"/>
        <v>1</v>
      </c>
      <c r="M119" s="124">
        <f t="shared" si="3"/>
        <v>1</v>
      </c>
    </row>
    <row r="120" spans="1:13" ht="16.95" customHeight="1" x14ac:dyDescent="0.3">
      <c r="A120" s="29" t="str">
        <f>IF($K120="N/A","",MAX($A$104:$A118)+0.01)</f>
        <v/>
      </c>
      <c r="B120" s="192" t="s">
        <v>1052</v>
      </c>
      <c r="C120" s="192"/>
      <c r="D120" s="193"/>
      <c r="E120" s="126" t="s">
        <v>1050</v>
      </c>
      <c r="F120" s="127"/>
      <c r="G120" s="128" t="str">
        <f t="shared" si="1"/>
        <v/>
      </c>
      <c r="H120" s="126" t="s">
        <v>1050</v>
      </c>
      <c r="I120" s="47"/>
      <c r="J120" s="126" t="s">
        <v>1050</v>
      </c>
      <c r="K120" s="129" t="str">
        <f>IF($D$77&lt;&gt;"Ja","N/A","")</f>
        <v>N/A</v>
      </c>
      <c r="L120" s="56">
        <f t="shared" si="2"/>
        <v>0</v>
      </c>
      <c r="M120" s="124">
        <f t="shared" si="3"/>
        <v>0</v>
      </c>
    </row>
    <row r="121" spans="1:13" ht="16.95" customHeight="1" x14ac:dyDescent="0.3">
      <c r="A121" s="29">
        <f>IF($K121="N/A","",MAX($A$104:$A118)+0.01)</f>
        <v>4.1299999999999972</v>
      </c>
      <c r="B121" s="192" t="s">
        <v>1138</v>
      </c>
      <c r="C121" s="192"/>
      <c r="D121" s="193"/>
      <c r="E121" s="126" t="s">
        <v>1050</v>
      </c>
      <c r="F121" s="127"/>
      <c r="G121" s="128" t="str">
        <f t="shared" si="1"/>
        <v/>
      </c>
      <c r="H121" s="126" t="s">
        <v>1050</v>
      </c>
      <c r="I121" s="47"/>
      <c r="J121" s="126" t="s">
        <v>1050</v>
      </c>
      <c r="K121" s="129" t="str">
        <f>IF($E$109="Nein","N/A","")</f>
        <v/>
      </c>
      <c r="L121" s="56">
        <f t="shared" si="2"/>
        <v>1</v>
      </c>
      <c r="M121" s="124">
        <f t="shared" si="3"/>
        <v>1</v>
      </c>
    </row>
    <row r="122" spans="1:13" ht="16.95" customHeight="1" x14ac:dyDescent="0.3">
      <c r="B122" s="192"/>
      <c r="C122" s="192"/>
      <c r="D122" s="193"/>
      <c r="F122" s="118"/>
      <c r="L122" s="56"/>
      <c r="M122" s="56"/>
    </row>
    <row r="123" spans="1:13" ht="16.95" customHeight="1" x14ac:dyDescent="0.3">
      <c r="B123" s="208" t="str">
        <f>"Risikofragen ("&amp;25-COUNTIF($A$125:$A149,"*")&amp;")"</f>
        <v>Risikofragen (25)</v>
      </c>
      <c r="C123" s="208"/>
      <c r="D123" s="117"/>
      <c r="E123" s="117"/>
      <c r="F123" s="118"/>
      <c r="L123" s="56"/>
      <c r="M123" s="56"/>
    </row>
    <row r="124" spans="1:13" ht="16.95" customHeight="1" x14ac:dyDescent="0.3">
      <c r="B124" s="117"/>
      <c r="C124" s="117"/>
      <c r="D124" s="117"/>
      <c r="E124" s="119" t="s">
        <v>1008</v>
      </c>
      <c r="F124" s="119" t="s">
        <v>1125</v>
      </c>
      <c r="G124" s="119" t="s">
        <v>1021</v>
      </c>
      <c r="H124" s="119" t="s">
        <v>1126</v>
      </c>
      <c r="I124" s="119" t="s">
        <v>1127</v>
      </c>
      <c r="J124" s="119" t="s">
        <v>1022</v>
      </c>
      <c r="L124" s="56"/>
      <c r="M124" s="56"/>
    </row>
    <row r="125" spans="1:13" ht="19.2" customHeight="1" x14ac:dyDescent="0.3">
      <c r="A125" s="29">
        <f>IF($K125="N/A","",MAX($A$104:$A124)+0.01)</f>
        <v>4.139999999999997</v>
      </c>
      <c r="B125" s="192" t="s">
        <v>1142</v>
      </c>
      <c r="C125" s="192"/>
      <c r="D125" s="193"/>
      <c r="E125" s="126" t="s">
        <v>1050</v>
      </c>
      <c r="F125" s="127"/>
      <c r="G125" s="128" t="str">
        <f>IF($K125="N/A","",IF($E125="Ja","OK",IF($E125="(wählen)","","Warnung!")))</f>
        <v/>
      </c>
      <c r="H125" s="126" t="s">
        <v>1050</v>
      </c>
      <c r="I125" s="47"/>
      <c r="J125" s="126" t="s">
        <v>1050</v>
      </c>
      <c r="K125" s="129" t="str">
        <f>IF(OR($E$104="Nein",$E$110="Nein"),"N/A","")</f>
        <v/>
      </c>
      <c r="L125" s="130">
        <f t="shared" ref="L125:L149" si="4">IF($K125="N/A",0,IF($G125="OK",0,IF(AND($J125="Akzeptiert",NOT($H125="")),0,1)))</f>
        <v>1</v>
      </c>
      <c r="M125" s="124">
        <f t="shared" ref="M125:M149" si="5">IF($K125="N/A",0,IF(OR($E125="(wählen)",$E125=""),1,0))</f>
        <v>1</v>
      </c>
    </row>
    <row r="126" spans="1:13" ht="31.2" customHeight="1" x14ac:dyDescent="0.3">
      <c r="A126" s="29">
        <f>IF($K126="N/A","",MAX($A$104:$A125)+0.01)</f>
        <v>4.1499999999999968</v>
      </c>
      <c r="B126" s="192" t="s">
        <v>1143</v>
      </c>
      <c r="C126" s="192"/>
      <c r="D126" s="193"/>
      <c r="E126" s="126" t="s">
        <v>1050</v>
      </c>
      <c r="F126" s="127"/>
      <c r="G126" s="128" t="str">
        <f>IF($K126="N/A","",IF($E126="Ja","OK",IF($E126="(wählen)","","Warnung!")))</f>
        <v/>
      </c>
      <c r="H126" s="126" t="s">
        <v>1050</v>
      </c>
      <c r="I126" s="47"/>
      <c r="J126" s="126" t="s">
        <v>1050</v>
      </c>
      <c r="K126" s="129" t="str">
        <f>IF(OR(OR($E$104="Nein",$E$107="Nein"),AND($E$109="Nein",$E$108="Nein",$E$109="Nein",$E$110="Nein")),"N/A","")</f>
        <v/>
      </c>
      <c r="L126" s="130">
        <f t="shared" si="4"/>
        <v>1</v>
      </c>
      <c r="M126" s="124">
        <f t="shared" si="5"/>
        <v>1</v>
      </c>
    </row>
    <row r="127" spans="1:13" ht="31.2" customHeight="1" x14ac:dyDescent="0.3">
      <c r="A127" s="29">
        <f>IF($K127="N/A","",MAX($A$104:$A126)+0.01)</f>
        <v>4.1599999999999966</v>
      </c>
      <c r="B127" s="192" t="s">
        <v>1144</v>
      </c>
      <c r="C127" s="192"/>
      <c r="D127" s="193"/>
      <c r="E127" s="126" t="s">
        <v>1050</v>
      </c>
      <c r="F127" s="127"/>
      <c r="G127" s="128" t="str">
        <f>IF($K127="N/A","",IF($E127="Ja","OK",IF($E127="(wählen)","","Warnung!")))</f>
        <v/>
      </c>
      <c r="H127" s="126" t="s">
        <v>1050</v>
      </c>
      <c r="I127" s="47"/>
      <c r="J127" s="126" t="s">
        <v>1050</v>
      </c>
      <c r="K127" s="129" t="str">
        <f>IF(OR(OR($E$104="Nein",$E$106="Nein"),AND($E$109="Nein",$E$108="Nein",$E$109="Nein",$E$110="Nein")),"N/A","")</f>
        <v/>
      </c>
      <c r="L127" s="130">
        <f t="shared" si="4"/>
        <v>1</v>
      </c>
      <c r="M127" s="124">
        <f t="shared" si="5"/>
        <v>1</v>
      </c>
    </row>
    <row r="128" spans="1:13" ht="29.4" customHeight="1" x14ac:dyDescent="0.3">
      <c r="A128" s="29">
        <f>IF($K128="N/A","",MAX($A$104:$A127)+0.01)</f>
        <v>4.1699999999999964</v>
      </c>
      <c r="B128" s="192" t="s">
        <v>1145</v>
      </c>
      <c r="C128" s="192"/>
      <c r="D128" s="193"/>
      <c r="E128" s="126" t="s">
        <v>1050</v>
      </c>
      <c r="F128" s="127"/>
      <c r="G128" s="128" t="str">
        <f>IF($K128="N/A","",IF($E128="Ja","OK",IF($E128="(wählen)","","Warnung!")))</f>
        <v/>
      </c>
      <c r="H128" s="126" t="s">
        <v>1050</v>
      </c>
      <c r="I128" s="47"/>
      <c r="J128" s="126" t="s">
        <v>1050</v>
      </c>
      <c r="K128" s="129" t="str">
        <f>IF(AND($E$109="Nein",$E$108="Nein",$E$109="Nein",$E$110="Nein"),"N/A","")</f>
        <v/>
      </c>
      <c r="L128" s="130">
        <f t="shared" si="4"/>
        <v>1</v>
      </c>
      <c r="M128" s="124">
        <f t="shared" si="5"/>
        <v>1</v>
      </c>
    </row>
    <row r="129" spans="1:13" ht="18.600000000000001" customHeight="1" x14ac:dyDescent="0.3">
      <c r="A129" s="29">
        <f>IF($K129="N/A","",MAX($A$104:$A128)+0.01)</f>
        <v>4.1799999999999962</v>
      </c>
      <c r="B129" s="192" t="s">
        <v>1147</v>
      </c>
      <c r="C129" s="192"/>
      <c r="D129" s="193"/>
      <c r="E129" s="126" t="s">
        <v>1050</v>
      </c>
      <c r="F129" s="127"/>
      <c r="G129" s="128" t="str">
        <f>IF($K129="N/A","",IF($E129="Nein","OK",IF($E129="(wählen)","","Warnung!")))</f>
        <v/>
      </c>
      <c r="H129" s="126" t="s">
        <v>1050</v>
      </c>
      <c r="I129" s="47"/>
      <c r="J129" s="126" t="s">
        <v>1050</v>
      </c>
      <c r="K129" s="129" t="str">
        <f t="shared" ref="K129:K135" si="6">IF($E$109="Nein","N/A","")</f>
        <v/>
      </c>
      <c r="L129" s="130">
        <f t="shared" si="4"/>
        <v>1</v>
      </c>
      <c r="M129" s="124">
        <f t="shared" si="5"/>
        <v>1</v>
      </c>
    </row>
    <row r="130" spans="1:13" ht="30.6" customHeight="1" x14ac:dyDescent="0.3">
      <c r="A130" s="29">
        <f>IF($K130="N/A","",MAX($A$104:$A129)+0.01)</f>
        <v>4.1899999999999959</v>
      </c>
      <c r="B130" s="192" t="s">
        <v>1167</v>
      </c>
      <c r="C130" s="192"/>
      <c r="D130" s="193"/>
      <c r="E130" s="126" t="s">
        <v>1050</v>
      </c>
      <c r="F130" s="127"/>
      <c r="G130" s="128" t="str">
        <f t="shared" ref="G130:G137" si="7">IF($K130="N/A","",IF($E130="Ja","OK",IF($E130="(wählen)","","Warnung!")))</f>
        <v/>
      </c>
      <c r="H130" s="126" t="s">
        <v>1050</v>
      </c>
      <c r="I130" s="47"/>
      <c r="J130" s="126" t="s">
        <v>1050</v>
      </c>
      <c r="K130" s="129" t="str">
        <f t="shared" si="6"/>
        <v/>
      </c>
      <c r="L130" s="130">
        <f t="shared" si="4"/>
        <v>1</v>
      </c>
      <c r="M130" s="124">
        <f t="shared" si="5"/>
        <v>1</v>
      </c>
    </row>
    <row r="131" spans="1:13" ht="31.8" customHeight="1" x14ac:dyDescent="0.3">
      <c r="A131" s="29">
        <f>IF($K131="N/A","",MAX($A$104:$A130)+0.01)</f>
        <v>4.1999999999999957</v>
      </c>
      <c r="B131" s="192" t="s">
        <v>1149</v>
      </c>
      <c r="C131" s="192"/>
      <c r="D131" s="193"/>
      <c r="E131" s="126" t="s">
        <v>1050</v>
      </c>
      <c r="F131" s="127"/>
      <c r="G131" s="128" t="str">
        <f t="shared" si="7"/>
        <v/>
      </c>
      <c r="H131" s="126" t="s">
        <v>1050</v>
      </c>
      <c r="I131" s="47"/>
      <c r="J131" s="126" t="s">
        <v>1050</v>
      </c>
      <c r="K131" s="129" t="str">
        <f t="shared" si="6"/>
        <v/>
      </c>
      <c r="L131" s="130">
        <f t="shared" si="4"/>
        <v>1</v>
      </c>
      <c r="M131" s="124">
        <f t="shared" si="5"/>
        <v>1</v>
      </c>
    </row>
    <row r="132" spans="1:13" ht="30" customHeight="1" x14ac:dyDescent="0.3">
      <c r="A132" s="29">
        <f>IF($K132="N/A","",MAX($A$104:$A131)+0.01)</f>
        <v>4.2099999999999955</v>
      </c>
      <c r="B132" s="192" t="s">
        <v>1023</v>
      </c>
      <c r="C132" s="192"/>
      <c r="D132" s="193"/>
      <c r="E132" s="126" t="s">
        <v>1050</v>
      </c>
      <c r="F132" s="127"/>
      <c r="G132" s="128" t="str">
        <f t="shared" si="7"/>
        <v/>
      </c>
      <c r="H132" s="126" t="s">
        <v>1050</v>
      </c>
      <c r="I132" s="47"/>
      <c r="J132" s="126" t="s">
        <v>1050</v>
      </c>
      <c r="K132" s="129" t="str">
        <f t="shared" si="6"/>
        <v/>
      </c>
      <c r="L132" s="130">
        <f t="shared" si="4"/>
        <v>1</v>
      </c>
      <c r="M132" s="124">
        <f t="shared" si="5"/>
        <v>1</v>
      </c>
    </row>
    <row r="133" spans="1:13" ht="30" customHeight="1" x14ac:dyDescent="0.3">
      <c r="A133" s="29">
        <f>IF($K133="N/A","",MAX($A$104:$A132)+0.01)</f>
        <v>4.2199999999999953</v>
      </c>
      <c r="B133" s="192" t="s">
        <v>1150</v>
      </c>
      <c r="C133" s="192"/>
      <c r="D133" s="193"/>
      <c r="E133" s="126" t="s">
        <v>1050</v>
      </c>
      <c r="F133" s="127"/>
      <c r="G133" s="128" t="str">
        <f t="shared" si="7"/>
        <v/>
      </c>
      <c r="H133" s="126" t="s">
        <v>1050</v>
      </c>
      <c r="I133" s="47"/>
      <c r="J133" s="126" t="s">
        <v>1050</v>
      </c>
      <c r="K133" s="129" t="str">
        <f t="shared" si="6"/>
        <v/>
      </c>
      <c r="L133" s="130">
        <f t="shared" si="4"/>
        <v>1</v>
      </c>
      <c r="M133" s="124">
        <f t="shared" si="5"/>
        <v>1</v>
      </c>
    </row>
    <row r="134" spans="1:13" ht="18.600000000000001" customHeight="1" x14ac:dyDescent="0.3">
      <c r="A134" s="29">
        <f>IF($K134="N/A","",MAX($A$104:$A133)+0.01)</f>
        <v>4.2299999999999951</v>
      </c>
      <c r="B134" s="192" t="s">
        <v>1151</v>
      </c>
      <c r="C134" s="192"/>
      <c r="D134" s="193"/>
      <c r="E134" s="126" t="s">
        <v>1050</v>
      </c>
      <c r="F134" s="127"/>
      <c r="G134" s="128" t="str">
        <f t="shared" si="7"/>
        <v/>
      </c>
      <c r="H134" s="126" t="s">
        <v>1050</v>
      </c>
      <c r="I134" s="47"/>
      <c r="J134" s="126" t="s">
        <v>1050</v>
      </c>
      <c r="K134" s="129" t="str">
        <f t="shared" si="6"/>
        <v/>
      </c>
      <c r="L134" s="130">
        <f t="shared" si="4"/>
        <v>1</v>
      </c>
      <c r="M134" s="124">
        <f t="shared" si="5"/>
        <v>1</v>
      </c>
    </row>
    <row r="135" spans="1:13" ht="30.6" customHeight="1" x14ac:dyDescent="0.3">
      <c r="A135" s="29">
        <f>IF($K135="N/A","",MAX($A$104:$A134)+0.01)</f>
        <v>4.2399999999999949</v>
      </c>
      <c r="B135" s="192" t="s">
        <v>1152</v>
      </c>
      <c r="C135" s="192"/>
      <c r="D135" s="193"/>
      <c r="E135" s="126" t="s">
        <v>1050</v>
      </c>
      <c r="F135" s="127"/>
      <c r="G135" s="128" t="str">
        <f t="shared" si="7"/>
        <v/>
      </c>
      <c r="H135" s="126" t="s">
        <v>1050</v>
      </c>
      <c r="I135" s="47"/>
      <c r="J135" s="126" t="s">
        <v>1050</v>
      </c>
      <c r="K135" s="129" t="str">
        <f t="shared" si="6"/>
        <v/>
      </c>
      <c r="L135" s="130">
        <f t="shared" si="4"/>
        <v>1</v>
      </c>
      <c r="M135" s="124">
        <f t="shared" si="5"/>
        <v>1</v>
      </c>
    </row>
    <row r="136" spans="1:13" ht="30.6" customHeight="1" x14ac:dyDescent="0.3">
      <c r="A136" s="29">
        <f>IF($K136="N/A","",MAX($A$104:$A135)+0.01)</f>
        <v>4.2499999999999947</v>
      </c>
      <c r="B136" s="192" t="s">
        <v>1163</v>
      </c>
      <c r="C136" s="192"/>
      <c r="D136" s="193"/>
      <c r="E136" s="126" t="s">
        <v>1050</v>
      </c>
      <c r="F136" s="127"/>
      <c r="G136" s="128" t="str">
        <f t="shared" si="7"/>
        <v/>
      </c>
      <c r="H136" s="126" t="s">
        <v>1050</v>
      </c>
      <c r="I136" s="47"/>
      <c r="J136" s="126" t="s">
        <v>1050</v>
      </c>
      <c r="K136" s="129"/>
      <c r="L136" s="130">
        <f t="shared" si="4"/>
        <v>1</v>
      </c>
      <c r="M136" s="124">
        <f t="shared" si="5"/>
        <v>1</v>
      </c>
    </row>
    <row r="137" spans="1:13" ht="29.4" customHeight="1" x14ac:dyDescent="0.3">
      <c r="A137" s="29">
        <f>IF($K137="N/A","",MAX($A$104:$A136)+0.01)</f>
        <v>4.2599999999999945</v>
      </c>
      <c r="B137" s="192" t="s">
        <v>1154</v>
      </c>
      <c r="C137" s="192"/>
      <c r="D137" s="193"/>
      <c r="E137" s="126" t="s">
        <v>1050</v>
      </c>
      <c r="F137" s="127"/>
      <c r="G137" s="128" t="str">
        <f t="shared" si="7"/>
        <v/>
      </c>
      <c r="H137" s="126" t="s">
        <v>1050</v>
      </c>
      <c r="I137" s="131"/>
      <c r="J137" s="126" t="s">
        <v>1050</v>
      </c>
      <c r="K137" s="129"/>
      <c r="L137" s="130">
        <f t="shared" si="4"/>
        <v>1</v>
      </c>
      <c r="M137" s="124">
        <f t="shared" si="5"/>
        <v>1</v>
      </c>
    </row>
    <row r="138" spans="1:13" ht="28.8" customHeight="1" x14ac:dyDescent="0.3">
      <c r="A138" s="29">
        <f>IF($K138="N/A","",MAX($A$104:$A137)+0.01)</f>
        <v>4.2699999999999942</v>
      </c>
      <c r="B138" s="192" t="s">
        <v>1155</v>
      </c>
      <c r="C138" s="192"/>
      <c r="D138" s="193"/>
      <c r="E138" s="126" t="s">
        <v>1050</v>
      </c>
      <c r="F138" s="127"/>
      <c r="G138" s="128" t="str">
        <f>IF($K138="N/A","",IF($E138="Nein","OK",IF($E138="(wählen)","","Warnung!")))</f>
        <v/>
      </c>
      <c r="H138" s="126" t="s">
        <v>1050</v>
      </c>
      <c r="I138" s="131"/>
      <c r="J138" s="126" t="s">
        <v>1050</v>
      </c>
      <c r="K138" s="129"/>
      <c r="L138" s="130">
        <f t="shared" si="4"/>
        <v>1</v>
      </c>
      <c r="M138" s="124">
        <f t="shared" si="5"/>
        <v>1</v>
      </c>
    </row>
    <row r="139" spans="1:13" ht="28.8" customHeight="1" x14ac:dyDescent="0.3">
      <c r="A139" s="29">
        <f>IF($K139="N/A","",MAX($A$104:$A138)+0.01)</f>
        <v>4.279999999999994</v>
      </c>
      <c r="B139" s="192" t="s">
        <v>1162</v>
      </c>
      <c r="C139" s="192"/>
      <c r="D139" s="193"/>
      <c r="E139" s="126" t="s">
        <v>1050</v>
      </c>
      <c r="F139" s="127"/>
      <c r="G139" s="128" t="str">
        <f>IF($K139="N/A","",IF($E139="Ja","OK",IF($E139="(wählen)","","Warnung!")))</f>
        <v/>
      </c>
      <c r="H139" s="126" t="s">
        <v>1050</v>
      </c>
      <c r="I139" s="131"/>
      <c r="J139" s="126" t="s">
        <v>1050</v>
      </c>
      <c r="K139" s="129"/>
      <c r="L139" s="130">
        <f t="shared" si="4"/>
        <v>1</v>
      </c>
      <c r="M139" s="124">
        <f t="shared" si="5"/>
        <v>1</v>
      </c>
    </row>
    <row r="140" spans="1:13" ht="16.95" customHeight="1" x14ac:dyDescent="0.3">
      <c r="A140" s="29">
        <f>IF($K140="N/A","",MAX($A$104:$A139)+0.01)</f>
        <v>4.2899999999999938</v>
      </c>
      <c r="B140" s="192" t="s">
        <v>1157</v>
      </c>
      <c r="C140" s="192"/>
      <c r="D140" s="193"/>
      <c r="E140" s="126" t="s">
        <v>1050</v>
      </c>
      <c r="F140" s="127"/>
      <c r="G140" s="128" t="str">
        <f>IF($K140="N/A","",IF($E140="Ja","OK",IF($E140="(wählen)","","Warnung!")))</f>
        <v/>
      </c>
      <c r="H140" s="126" t="s">
        <v>1050</v>
      </c>
      <c r="I140" s="131"/>
      <c r="J140" s="126" t="s">
        <v>1050</v>
      </c>
      <c r="K140" s="129"/>
      <c r="L140" s="130">
        <f t="shared" si="4"/>
        <v>1</v>
      </c>
      <c r="M140" s="124">
        <f t="shared" si="5"/>
        <v>1</v>
      </c>
    </row>
    <row r="141" spans="1:13" ht="16.95" customHeight="1" x14ac:dyDescent="0.3">
      <c r="A141" s="29">
        <f>IF($K141="N/A","",MAX($A$104:$A140)+0.01)</f>
        <v>4.2999999999999936</v>
      </c>
      <c r="B141" s="192" t="s">
        <v>1024</v>
      </c>
      <c r="C141" s="192"/>
      <c r="D141" s="193"/>
      <c r="E141" s="126" t="s">
        <v>1050</v>
      </c>
      <c r="F141" s="127"/>
      <c r="G141" s="128" t="str">
        <f>IF($K141="N/A","",IF($E141="Nein","OK",IF($E141="(wählen)","","Warnung!")))</f>
        <v/>
      </c>
      <c r="H141" s="126" t="s">
        <v>1050</v>
      </c>
      <c r="I141" s="131"/>
      <c r="J141" s="126" t="s">
        <v>1050</v>
      </c>
      <c r="K141" s="129"/>
      <c r="L141" s="130">
        <f t="shared" si="4"/>
        <v>1</v>
      </c>
      <c r="M141" s="124">
        <f t="shared" si="5"/>
        <v>1</v>
      </c>
    </row>
    <row r="142" spans="1:13" ht="17.399999999999999" customHeight="1" x14ac:dyDescent="0.3">
      <c r="A142" s="29">
        <f>IF($K142="N/A","",MAX($A$104:$A141)+0.01)</f>
        <v>4.3099999999999934</v>
      </c>
      <c r="B142" s="192" t="s">
        <v>1158</v>
      </c>
      <c r="C142" s="192"/>
      <c r="D142" s="193"/>
      <c r="E142" s="126" t="s">
        <v>1050</v>
      </c>
      <c r="F142" s="127"/>
      <c r="G142" s="128" t="str">
        <f>IF($K142="N/A","",IF($E142="Nein","OK",IF($E142="(wählen)","","Warnung!")))</f>
        <v/>
      </c>
      <c r="H142" s="126" t="s">
        <v>1050</v>
      </c>
      <c r="I142" s="131"/>
      <c r="J142" s="126" t="s">
        <v>1050</v>
      </c>
      <c r="K142" s="129"/>
      <c r="L142" s="130">
        <f t="shared" si="4"/>
        <v>1</v>
      </c>
      <c r="M142" s="124">
        <f t="shared" si="5"/>
        <v>1</v>
      </c>
    </row>
    <row r="143" spans="1:13" ht="29.4" customHeight="1" x14ac:dyDescent="0.3">
      <c r="A143" s="29">
        <f>IF($K143="N/A","",MAX($A$104:$A142)+0.01)</f>
        <v>4.3199999999999932</v>
      </c>
      <c r="B143" s="192" t="s">
        <v>1168</v>
      </c>
      <c r="C143" s="192"/>
      <c r="D143" s="193"/>
      <c r="E143" s="126" t="s">
        <v>1050</v>
      </c>
      <c r="F143" s="127"/>
      <c r="G143" s="128" t="str">
        <f>IF($K143="N/A","",IF($E143="Ja","OK",IF($E143="(wählen)","","Warnung!")))</f>
        <v/>
      </c>
      <c r="H143" s="126" t="s">
        <v>1050</v>
      </c>
      <c r="I143" s="131"/>
      <c r="J143" s="126" t="s">
        <v>1050</v>
      </c>
      <c r="K143" s="129"/>
      <c r="L143" s="130">
        <f t="shared" si="4"/>
        <v>1</v>
      </c>
      <c r="M143" s="124">
        <f t="shared" si="5"/>
        <v>1</v>
      </c>
    </row>
    <row r="144" spans="1:13" ht="31.2" customHeight="1" x14ac:dyDescent="0.3">
      <c r="A144" s="29">
        <f>IF($K144="N/A","",MAX($A$104:$A143)+0.01)</f>
        <v>4.329999999999993</v>
      </c>
      <c r="B144" s="192" t="s">
        <v>1160</v>
      </c>
      <c r="C144" s="192"/>
      <c r="D144" s="193"/>
      <c r="E144" s="126" t="s">
        <v>1050</v>
      </c>
      <c r="F144" s="127"/>
      <c r="G144" s="128" t="str">
        <f>IF($K144="N/A","",IF($E144="Ja","OK",IF($E144="(wählen)","","Warnung!")))</f>
        <v/>
      </c>
      <c r="H144" s="126" t="s">
        <v>1050</v>
      </c>
      <c r="I144" s="131"/>
      <c r="J144" s="126" t="s">
        <v>1050</v>
      </c>
      <c r="K144" s="129"/>
      <c r="L144" s="130">
        <f t="shared" si="4"/>
        <v>1</v>
      </c>
      <c r="M144" s="124">
        <f t="shared" si="5"/>
        <v>1</v>
      </c>
    </row>
    <row r="145" spans="1:13" ht="16.95" customHeight="1" x14ac:dyDescent="0.3">
      <c r="A145" s="29">
        <f>IF($K145="N/A","",MAX($A$104:$A144)+0.01)</f>
        <v>4.3399999999999928</v>
      </c>
      <c r="B145" s="192" t="s">
        <v>1025</v>
      </c>
      <c r="C145" s="192"/>
      <c r="D145" s="193"/>
      <c r="E145" s="126" t="s">
        <v>1050</v>
      </c>
      <c r="F145" s="127"/>
      <c r="G145" s="128" t="str">
        <f>IF($K145="N/A","",IF($E145="Nein","OK",IF($E145="(wählen)","","Warnung!")))</f>
        <v/>
      </c>
      <c r="H145" s="126" t="s">
        <v>1050</v>
      </c>
      <c r="I145" s="131"/>
      <c r="J145" s="126" t="s">
        <v>1050</v>
      </c>
      <c r="K145" s="129"/>
      <c r="L145" s="130">
        <f t="shared" si="4"/>
        <v>1</v>
      </c>
      <c r="M145" s="124">
        <f t="shared" si="5"/>
        <v>1</v>
      </c>
    </row>
    <row r="146" spans="1:13" ht="32.4" customHeight="1" x14ac:dyDescent="0.3">
      <c r="A146" s="29">
        <f>IF($K146="N/A","",MAX($A$104:$A145)+0.01)</f>
        <v>4.3499999999999925</v>
      </c>
      <c r="B146" s="192" t="s">
        <v>1161</v>
      </c>
      <c r="C146" s="192"/>
      <c r="D146" s="193"/>
      <c r="E146" s="126" t="s">
        <v>1050</v>
      </c>
      <c r="F146" s="127"/>
      <c r="G146" s="128" t="str">
        <f>IF($K146="N/A","",IF($E146="Ja","OK",IF($E146="(wählen)","","Warnung!")))</f>
        <v/>
      </c>
      <c r="H146" s="126" t="s">
        <v>1050</v>
      </c>
      <c r="I146" s="131"/>
      <c r="J146" s="126" t="s">
        <v>1050</v>
      </c>
      <c r="K146" s="129"/>
      <c r="L146" s="130">
        <f t="shared" si="4"/>
        <v>1</v>
      </c>
      <c r="M146" s="124">
        <f t="shared" si="5"/>
        <v>1</v>
      </c>
    </row>
    <row r="147" spans="1:13" ht="16.95" customHeight="1" x14ac:dyDescent="0.3">
      <c r="A147" s="29">
        <f>IF($K147="N/A","",MAX($A$104:$A146)+0.01)</f>
        <v>4.3599999999999923</v>
      </c>
      <c r="B147" s="192" t="s">
        <v>1164</v>
      </c>
      <c r="C147" s="192"/>
      <c r="D147" s="193"/>
      <c r="E147" s="126" t="s">
        <v>1050</v>
      </c>
      <c r="F147" s="127"/>
      <c r="G147" s="128" t="str">
        <f>IF($K147="N/A","",IF($E147="Ja","OK",IF($E147="(wählen)","","Warnung!")))</f>
        <v/>
      </c>
      <c r="H147" s="126" t="s">
        <v>1050</v>
      </c>
      <c r="I147" s="131"/>
      <c r="J147" s="126" t="s">
        <v>1050</v>
      </c>
      <c r="K147" s="129"/>
      <c r="L147" s="130">
        <f t="shared" si="4"/>
        <v>1</v>
      </c>
      <c r="M147" s="124">
        <f t="shared" si="5"/>
        <v>1</v>
      </c>
    </row>
    <row r="148" spans="1:13" ht="27.6" customHeight="1" x14ac:dyDescent="0.3">
      <c r="A148" s="29">
        <f>IF($K148="N/A","",MAX($A$104:$A147)+0.01)</f>
        <v>4.3699999999999921</v>
      </c>
      <c r="B148" s="192" t="s">
        <v>1026</v>
      </c>
      <c r="C148" s="192"/>
      <c r="D148" s="193"/>
      <c r="E148" s="126" t="s">
        <v>1050</v>
      </c>
      <c r="F148" s="127"/>
      <c r="G148" s="128" t="str">
        <f>IF($K148="N/A","",IF($E148="Ja","OK",IF($E148="(wählen)","","Warnung!")))</f>
        <v/>
      </c>
      <c r="H148" s="126" t="s">
        <v>1050</v>
      </c>
      <c r="I148" s="131"/>
      <c r="J148" s="126" t="s">
        <v>1050</v>
      </c>
      <c r="K148" s="129"/>
      <c r="L148" s="130">
        <f t="shared" si="4"/>
        <v>1</v>
      </c>
      <c r="M148" s="124">
        <f t="shared" si="5"/>
        <v>1</v>
      </c>
    </row>
    <row r="149" spans="1:13" ht="28.2" customHeight="1" x14ac:dyDescent="0.3">
      <c r="A149" s="29">
        <f>IF($K149="N/A","",MAX($A$104:$A148)+0.01)</f>
        <v>4.3799999999999919</v>
      </c>
      <c r="B149" s="192" t="s">
        <v>1165</v>
      </c>
      <c r="C149" s="192"/>
      <c r="D149" s="193"/>
      <c r="E149" s="126" t="s">
        <v>1050</v>
      </c>
      <c r="F149" s="127"/>
      <c r="G149" s="128" t="str">
        <f>IF($K149="N/A","",IF($E149="Nein","OK",IF($E149="(wählen)","","Warnung!")))</f>
        <v/>
      </c>
      <c r="H149" s="126" t="s">
        <v>1050</v>
      </c>
      <c r="I149" s="131"/>
      <c r="J149" s="126" t="s">
        <v>1050</v>
      </c>
      <c r="K149" s="129"/>
      <c r="L149" s="130">
        <f t="shared" si="4"/>
        <v>1</v>
      </c>
      <c r="M149" s="124">
        <f t="shared" si="5"/>
        <v>1</v>
      </c>
    </row>
    <row r="150" spans="1:13" x14ac:dyDescent="0.3">
      <c r="L150" s="56"/>
      <c r="M150" s="56"/>
    </row>
    <row r="151" spans="1:13" x14ac:dyDescent="0.3">
      <c r="A151" s="29">
        <f>IF($K151="N/A","",MAX($A$104:$A149)+0.01)</f>
        <v>4.3899999999999917</v>
      </c>
      <c r="B151" s="192" t="s">
        <v>1166</v>
      </c>
      <c r="C151" s="192"/>
      <c r="D151" s="193"/>
      <c r="E151" s="14">
        <v>3</v>
      </c>
      <c r="L151" s="56">
        <f>SUM($L$114:$L$149)</f>
        <v>32</v>
      </c>
      <c r="M151" s="56">
        <f>SUM($M$104:$M$149)</f>
        <v>39</v>
      </c>
    </row>
    <row r="152" spans="1:13" x14ac:dyDescent="0.3">
      <c r="L152" s="56"/>
      <c r="M152" s="56"/>
    </row>
    <row r="153" spans="1:13" ht="15.6" x14ac:dyDescent="0.3">
      <c r="A153" s="3" t="s">
        <v>1027</v>
      </c>
      <c r="B153" s="4" t="s">
        <v>1132</v>
      </c>
      <c r="K153" s="129" t="str">
        <f>IF($E$109="Nein","N/A","")</f>
        <v/>
      </c>
      <c r="L153" s="56"/>
      <c r="M153" s="56"/>
    </row>
    <row r="154" spans="1:13" x14ac:dyDescent="0.3">
      <c r="K154" s="129" t="str">
        <f>IF($E$109="Nein","N/A","")</f>
        <v/>
      </c>
      <c r="L154" s="56"/>
      <c r="M154" s="56"/>
    </row>
    <row r="155" spans="1:13" ht="88.8" customHeight="1" x14ac:dyDescent="0.3">
      <c r="B155" s="205" t="s">
        <v>1228</v>
      </c>
      <c r="C155" s="205"/>
      <c r="D155" s="205"/>
      <c r="E155" s="205"/>
      <c r="F155" s="205"/>
      <c r="G155" s="205"/>
      <c r="H155" s="205"/>
      <c r="K155" s="129"/>
      <c r="L155" s="56"/>
      <c r="M155" s="56"/>
    </row>
    <row r="156" spans="1:13" x14ac:dyDescent="0.3">
      <c r="K156" s="129"/>
      <c r="L156" s="56"/>
      <c r="M156" s="56"/>
    </row>
    <row r="157" spans="1:13" x14ac:dyDescent="0.3">
      <c r="A157" s="12"/>
      <c r="B157" s="208" t="s">
        <v>1173</v>
      </c>
      <c r="C157" s="208"/>
      <c r="K157" s="129" t="str">
        <f t="shared" ref="K157:K169" si="8">IF($E$109="Nein","N/A","")</f>
        <v/>
      </c>
      <c r="L157" s="56"/>
      <c r="M157" s="56"/>
    </row>
    <row r="158" spans="1:13" x14ac:dyDescent="0.3">
      <c r="A158" s="2"/>
      <c r="B158" s="2"/>
      <c r="C158" s="2"/>
      <c r="K158" s="129" t="str">
        <f t="shared" si="8"/>
        <v/>
      </c>
      <c r="L158" s="56"/>
      <c r="M158" s="56"/>
    </row>
    <row r="159" spans="1:13" ht="15.6" customHeight="1" x14ac:dyDescent="0.3">
      <c r="A159" s="12">
        <v>5.01</v>
      </c>
      <c r="B159" s="192" t="s">
        <v>1172</v>
      </c>
      <c r="C159" s="192"/>
      <c r="D159" s="193"/>
      <c r="E159" s="126" t="s">
        <v>1050</v>
      </c>
      <c r="K159" s="129" t="str">
        <f t="shared" si="8"/>
        <v/>
      </c>
      <c r="L159" s="56"/>
      <c r="M159" s="123"/>
    </row>
    <row r="160" spans="1:13" ht="14.4" customHeight="1" x14ac:dyDescent="0.3">
      <c r="A160" s="12">
        <f>MAX($A$153:$A159)+0.01</f>
        <v>5.0199999999999996</v>
      </c>
      <c r="B160" s="192" t="s">
        <v>1169</v>
      </c>
      <c r="C160" s="192"/>
      <c r="D160" s="193"/>
      <c r="E160" s="126" t="s">
        <v>1050</v>
      </c>
      <c r="K160" s="129" t="str">
        <f t="shared" si="8"/>
        <v/>
      </c>
      <c r="L160" s="56"/>
      <c r="M160" s="123"/>
    </row>
    <row r="161" spans="1:13" ht="45.6" customHeight="1" x14ac:dyDescent="0.3">
      <c r="A161" s="12">
        <f>MAX($A$153:$A160)+0.01</f>
        <v>5.0299999999999994</v>
      </c>
      <c r="B161" s="192" t="s">
        <v>1175</v>
      </c>
      <c r="C161" s="192"/>
      <c r="D161" s="193"/>
      <c r="E161" s="126" t="s">
        <v>1050</v>
      </c>
      <c r="K161" s="129" t="str">
        <f t="shared" si="8"/>
        <v/>
      </c>
      <c r="L161" s="56"/>
      <c r="M161" s="123"/>
    </row>
    <row r="162" spans="1:13" ht="46.8" customHeight="1" x14ac:dyDescent="0.3">
      <c r="A162" s="12">
        <f>MAX($A$153:$A161)+0.01</f>
        <v>5.0399999999999991</v>
      </c>
      <c r="B162" s="192" t="s">
        <v>1176</v>
      </c>
      <c r="C162" s="192"/>
      <c r="D162" s="193"/>
      <c r="E162" s="126" t="s">
        <v>1050</v>
      </c>
      <c r="K162" s="129" t="str">
        <f t="shared" si="8"/>
        <v/>
      </c>
      <c r="L162" s="56"/>
      <c r="M162" s="123"/>
    </row>
    <row r="163" spans="1:13" ht="29.4" customHeight="1" x14ac:dyDescent="0.3">
      <c r="A163" s="12">
        <f>MAX($A$153:$A162)+0.01</f>
        <v>5.0499999999999989</v>
      </c>
      <c r="B163" s="192" t="s">
        <v>1180</v>
      </c>
      <c r="C163" s="192"/>
      <c r="D163" s="193"/>
      <c r="E163" s="126" t="s">
        <v>1050</v>
      </c>
      <c r="K163" s="129" t="str">
        <f t="shared" si="8"/>
        <v/>
      </c>
      <c r="L163" s="56"/>
      <c r="M163" s="123"/>
    </row>
    <row r="164" spans="1:13" ht="46.2" customHeight="1" x14ac:dyDescent="0.3">
      <c r="A164" s="12">
        <f>MAX($A$153:$A163)+0.01</f>
        <v>5.0599999999999987</v>
      </c>
      <c r="B164" s="192" t="s">
        <v>1177</v>
      </c>
      <c r="C164" s="192"/>
      <c r="D164" s="193"/>
      <c r="E164" s="126" t="s">
        <v>1050</v>
      </c>
      <c r="K164" s="129" t="str">
        <f t="shared" si="8"/>
        <v/>
      </c>
      <c r="L164" s="56"/>
      <c r="M164" s="123"/>
    </row>
    <row r="165" spans="1:13" ht="14.4" customHeight="1" x14ac:dyDescent="0.3">
      <c r="A165" s="12"/>
      <c r="B165" s="149"/>
      <c r="C165" s="149"/>
      <c r="D165" s="149"/>
      <c r="E165" s="149"/>
      <c r="K165" s="129" t="str">
        <f t="shared" si="8"/>
        <v/>
      </c>
      <c r="L165" s="56"/>
      <c r="M165" s="123"/>
    </row>
    <row r="166" spans="1:13" ht="14.4" customHeight="1" x14ac:dyDescent="0.3">
      <c r="A166" s="12"/>
      <c r="B166" s="192" t="s">
        <v>1178</v>
      </c>
      <c r="C166" s="192"/>
      <c r="D166" s="228" t="str">
        <f>IF(IFERROR(FIND("Ja",$E$159&amp;$E$160&amp;$E$161&amp;$E$162&amp;$E$163&amp;$E$164,TRUE),0)&gt;0,"Ja",IF(IFERROR(FIND("(wählen)",$E$159&amp;$E$160&amp;$E$161&amp;$E$162&amp;$E$163&amp;$E$164,TRUE),0)&gt;0,"(bitte oben jeweils die Auswahl treffen)","Nein"))</f>
        <v>(bitte oben jeweils die Auswahl treffen)</v>
      </c>
      <c r="E166" s="228"/>
      <c r="K166" s="129" t="str">
        <f t="shared" si="8"/>
        <v/>
      </c>
      <c r="L166" s="56"/>
      <c r="M166" s="123"/>
    </row>
    <row r="167" spans="1:13" ht="14.4" customHeight="1" x14ac:dyDescent="0.3">
      <c r="A167" s="12"/>
      <c r="B167" s="149"/>
      <c r="C167" s="149"/>
      <c r="D167" s="149"/>
      <c r="E167" s="149"/>
      <c r="K167" s="129" t="str">
        <f t="shared" si="8"/>
        <v/>
      </c>
      <c r="L167" s="56"/>
      <c r="M167" s="123"/>
    </row>
    <row r="168" spans="1:13" ht="14.4" customHeight="1" x14ac:dyDescent="0.3">
      <c r="A168" s="12"/>
      <c r="B168" s="192" t="s">
        <v>1581</v>
      </c>
      <c r="C168" s="192"/>
      <c r="D168" s="192"/>
      <c r="E168" s="187" t="s">
        <v>1050</v>
      </c>
      <c r="K168" s="129" t="str">
        <f t="shared" si="8"/>
        <v/>
      </c>
      <c r="L168" s="56"/>
      <c r="M168" s="123"/>
    </row>
    <row r="169" spans="1:13" ht="14.4" customHeight="1" x14ac:dyDescent="0.3">
      <c r="A169" s="12"/>
      <c r="B169" s="149"/>
      <c r="C169" s="149"/>
      <c r="D169" s="149"/>
      <c r="E169" s="149"/>
      <c r="K169" s="129" t="str">
        <f t="shared" si="8"/>
        <v/>
      </c>
      <c r="L169" s="56"/>
      <c r="M169" s="123"/>
    </row>
    <row r="170" spans="1:13" ht="14.4" customHeight="1" x14ac:dyDescent="0.3">
      <c r="A170" s="12"/>
      <c r="B170" s="208" t="s">
        <v>1181</v>
      </c>
      <c r="C170" s="208"/>
      <c r="D170" s="159"/>
      <c r="E170" s="159"/>
      <c r="F170" s="20"/>
      <c r="G170" s="20"/>
      <c r="K170" s="154" t="str">
        <f>IF(OR($E$109="Nein",$E$168&lt;&gt;"Ja"),"N/A","")</f>
        <v>N/A</v>
      </c>
      <c r="L170" s="56"/>
      <c r="M170" s="123"/>
    </row>
    <row r="171" spans="1:13" ht="14.4" customHeight="1" x14ac:dyDescent="0.3">
      <c r="A171" s="12"/>
      <c r="B171" s="149"/>
      <c r="C171" s="149"/>
      <c r="D171" s="149"/>
      <c r="E171" s="149"/>
      <c r="K171" s="154" t="str">
        <f t="shared" ref="K171:K214" si="9">IF(OR($E$109="Nein",$E$168&lt;&gt;"Ja"),"N/A","")</f>
        <v>N/A</v>
      </c>
      <c r="L171" s="56"/>
      <c r="M171" s="123"/>
    </row>
    <row r="172" spans="1:13" ht="97.2" customHeight="1" x14ac:dyDescent="0.3">
      <c r="A172" s="12"/>
      <c r="B172" s="205" t="s">
        <v>1206</v>
      </c>
      <c r="C172" s="205"/>
      <c r="D172" s="205"/>
      <c r="E172" s="205"/>
      <c r="F172" s="205"/>
      <c r="G172" s="205"/>
      <c r="I172" s="231" t="s">
        <v>1188</v>
      </c>
      <c r="J172" s="231"/>
      <c r="K172" s="154" t="str">
        <f t="shared" si="9"/>
        <v>N/A</v>
      </c>
      <c r="L172" s="56"/>
      <c r="M172" s="123"/>
    </row>
    <row r="173" spans="1:13" ht="14.4" customHeight="1" x14ac:dyDescent="0.3">
      <c r="A173" s="12"/>
      <c r="B173" s="149"/>
      <c r="C173" s="149"/>
      <c r="D173" s="149"/>
      <c r="E173" s="149"/>
      <c r="K173" s="154" t="str">
        <f t="shared" si="9"/>
        <v>N/A</v>
      </c>
      <c r="L173" s="56"/>
      <c r="M173" s="123"/>
    </row>
    <row r="174" spans="1:13" ht="57.6" customHeight="1" x14ac:dyDescent="0.3">
      <c r="A174" s="12">
        <f>MAX($A$153:$A173)+0.01</f>
        <v>5.0699999999999985</v>
      </c>
      <c r="B174" s="192" t="s">
        <v>1401</v>
      </c>
      <c r="C174" s="192"/>
      <c r="D174" s="189"/>
      <c r="E174" s="190"/>
      <c r="F174" s="190"/>
      <c r="G174" s="191"/>
      <c r="K174" s="154" t="str">
        <f t="shared" si="9"/>
        <v>N/A</v>
      </c>
      <c r="L174" s="56"/>
      <c r="M174" s="123"/>
    </row>
    <row r="175" spans="1:13" ht="14.4" customHeight="1" x14ac:dyDescent="0.3">
      <c r="A175" s="12"/>
      <c r="B175" s="149"/>
      <c r="C175" s="149"/>
      <c r="D175" s="149"/>
      <c r="E175" s="149"/>
      <c r="K175" s="154" t="str">
        <f t="shared" si="9"/>
        <v>N/A</v>
      </c>
      <c r="L175" s="56"/>
      <c r="M175" s="123"/>
    </row>
    <row r="176" spans="1:13" ht="14.4" customHeight="1" x14ac:dyDescent="0.3">
      <c r="A176" s="12"/>
      <c r="B176" s="229" t="s">
        <v>1028</v>
      </c>
      <c r="C176" s="229"/>
      <c r="D176" s="150" t="s">
        <v>1184</v>
      </c>
      <c r="E176" s="119" t="s">
        <v>1029</v>
      </c>
      <c r="F176" s="150" t="s">
        <v>1185</v>
      </c>
      <c r="G176" s="119" t="s">
        <v>1213</v>
      </c>
      <c r="H176" s="119" t="s">
        <v>1187</v>
      </c>
      <c r="I176" s="230" t="s">
        <v>1030</v>
      </c>
      <c r="J176" s="230"/>
      <c r="K176" s="154" t="str">
        <f t="shared" si="9"/>
        <v>N/A</v>
      </c>
      <c r="L176" s="56"/>
      <c r="M176" s="123"/>
    </row>
    <row r="177" spans="1:13" ht="13.2" customHeight="1" x14ac:dyDescent="0.3">
      <c r="A177" s="12">
        <f>MAX($A$153:$A176)+0.01</f>
        <v>5.0799999999999983</v>
      </c>
      <c r="B177" s="215" t="s">
        <v>1189</v>
      </c>
      <c r="C177" s="216"/>
      <c r="D177" s="43"/>
      <c r="E177" s="177" t="s">
        <v>91</v>
      </c>
      <c r="F177" s="43"/>
      <c r="G177" s="177" t="s">
        <v>91</v>
      </c>
      <c r="H177" s="153">
        <f>IFERROR(VLOOKUP($E177,$D$203:$E$207,2,FALSE)*VLOOKUP($G177,$D$209:$E$213,2,FALSE),"")</f>
        <v>0</v>
      </c>
      <c r="I177" s="215"/>
      <c r="J177" s="216"/>
      <c r="K177" s="154" t="str">
        <f t="shared" si="9"/>
        <v>N/A</v>
      </c>
      <c r="L177" s="56"/>
      <c r="M177" s="123"/>
    </row>
    <row r="178" spans="1:13" x14ac:dyDescent="0.3">
      <c r="A178" s="12">
        <f>MAX($A$153:$A177)+0.01</f>
        <v>5.0899999999999981</v>
      </c>
      <c r="B178" s="215" t="s">
        <v>1190</v>
      </c>
      <c r="C178" s="216"/>
      <c r="D178" s="43"/>
      <c r="E178" s="177" t="s">
        <v>91</v>
      </c>
      <c r="F178" s="43"/>
      <c r="G178" s="177" t="s">
        <v>91</v>
      </c>
      <c r="H178" s="153">
        <f>IFERROR(VLOOKUP($E178,$D$203:$E$207,2,FALSE)*VLOOKUP($G178,$D$209:$E$213,2,FALSE),"")</f>
        <v>0</v>
      </c>
      <c r="I178" s="215"/>
      <c r="J178" s="216"/>
      <c r="K178" s="154" t="str">
        <f t="shared" si="9"/>
        <v>N/A</v>
      </c>
      <c r="L178" s="56"/>
      <c r="M178" s="123"/>
    </row>
    <row r="179" spans="1:13" x14ac:dyDescent="0.3">
      <c r="A179" s="12">
        <f>MAX($A$153:$A178)+0.01</f>
        <v>5.0999999999999979</v>
      </c>
      <c r="B179" s="215" t="s">
        <v>1191</v>
      </c>
      <c r="C179" s="216"/>
      <c r="D179" s="43"/>
      <c r="E179" s="177" t="s">
        <v>91</v>
      </c>
      <c r="F179" s="43"/>
      <c r="G179" s="177" t="s">
        <v>91</v>
      </c>
      <c r="H179" s="153">
        <f>IFERROR(VLOOKUP($E179,$D$203:$E$207,2,FALSE)*VLOOKUP($G179,$D$209:$E$213,2,FALSE),"")</f>
        <v>0</v>
      </c>
      <c r="I179" s="215"/>
      <c r="J179" s="216"/>
      <c r="K179" s="154" t="str">
        <f t="shared" si="9"/>
        <v>N/A</v>
      </c>
      <c r="L179" s="56"/>
      <c r="M179" s="123"/>
    </row>
    <row r="180" spans="1:13" x14ac:dyDescent="0.3">
      <c r="A180" s="12">
        <f>MAX($A$153:$A179)+0.01</f>
        <v>5.1099999999999977</v>
      </c>
      <c r="B180" s="215" t="s">
        <v>1192</v>
      </c>
      <c r="C180" s="216"/>
      <c r="D180" s="43"/>
      <c r="E180" s="177" t="s">
        <v>91</v>
      </c>
      <c r="F180" s="43"/>
      <c r="G180" s="177" t="s">
        <v>91</v>
      </c>
      <c r="H180" s="153">
        <f>IFERROR(VLOOKUP($E180,$D$203:$E$207,2,FALSE)*VLOOKUP($G180,$D$209:$E$213,2,FALSE),"")</f>
        <v>0</v>
      </c>
      <c r="I180" s="215"/>
      <c r="J180" s="216"/>
      <c r="K180" s="154" t="str">
        <f t="shared" si="9"/>
        <v>N/A</v>
      </c>
      <c r="L180" s="56"/>
      <c r="M180" s="123"/>
    </row>
    <row r="181" spans="1:13" ht="14.4" customHeight="1" x14ac:dyDescent="0.3">
      <c r="A181" s="12">
        <f>MAX($A$153:$A180)+0.01</f>
        <v>5.1199999999999974</v>
      </c>
      <c r="B181" s="215" t="s">
        <v>1193</v>
      </c>
      <c r="C181" s="216"/>
      <c r="D181" s="43"/>
      <c r="E181" s="177" t="s">
        <v>91</v>
      </c>
      <c r="F181" s="43"/>
      <c r="G181" s="177" t="s">
        <v>91</v>
      </c>
      <c r="H181" s="153">
        <f t="shared" ref="H181:H189" si="10">IFERROR(VLOOKUP($E181,$D$203:$E$207,2,FALSE)*VLOOKUP($G181,$D$209:$E$213,2,FALSE),"")</f>
        <v>0</v>
      </c>
      <c r="I181" s="215"/>
      <c r="J181" s="216"/>
      <c r="K181" s="154" t="str">
        <f t="shared" si="9"/>
        <v>N/A</v>
      </c>
      <c r="L181" s="56"/>
      <c r="M181" s="123"/>
    </row>
    <row r="182" spans="1:13" ht="14.4" customHeight="1" x14ac:dyDescent="0.3">
      <c r="A182" s="12">
        <f>MAX($A$153:$A181)+0.01</f>
        <v>5.1299999999999972</v>
      </c>
      <c r="B182" s="215" t="s">
        <v>1194</v>
      </c>
      <c r="C182" s="216"/>
      <c r="D182" s="43"/>
      <c r="E182" s="177" t="s">
        <v>91</v>
      </c>
      <c r="F182" s="43"/>
      <c r="G182" s="177" t="s">
        <v>91</v>
      </c>
      <c r="H182" s="153">
        <f t="shared" si="10"/>
        <v>0</v>
      </c>
      <c r="I182" s="215"/>
      <c r="J182" s="216"/>
      <c r="K182" s="154" t="str">
        <f t="shared" si="9"/>
        <v>N/A</v>
      </c>
      <c r="L182" s="56"/>
      <c r="M182" s="123"/>
    </row>
    <row r="183" spans="1:13" ht="14.4" customHeight="1" x14ac:dyDescent="0.3">
      <c r="A183" s="12">
        <f>MAX($A$153:$A182)+0.01</f>
        <v>5.139999999999997</v>
      </c>
      <c r="B183" s="215" t="s">
        <v>1195</v>
      </c>
      <c r="C183" s="216"/>
      <c r="D183" s="43"/>
      <c r="E183" s="177" t="s">
        <v>91</v>
      </c>
      <c r="F183" s="43"/>
      <c r="G183" s="177" t="s">
        <v>91</v>
      </c>
      <c r="H183" s="153">
        <f t="shared" si="10"/>
        <v>0</v>
      </c>
      <c r="I183" s="215"/>
      <c r="J183" s="216"/>
      <c r="K183" s="154" t="str">
        <f t="shared" si="9"/>
        <v>N/A</v>
      </c>
      <c r="L183" s="56"/>
      <c r="M183" s="123"/>
    </row>
    <row r="184" spans="1:13" ht="14.4" customHeight="1" x14ac:dyDescent="0.3">
      <c r="A184" s="12">
        <f>MAX($A$153:$A183)+0.01</f>
        <v>5.1499999999999968</v>
      </c>
      <c r="B184" s="215" t="s">
        <v>1196</v>
      </c>
      <c r="C184" s="216"/>
      <c r="D184" s="43"/>
      <c r="E184" s="177" t="s">
        <v>91</v>
      </c>
      <c r="F184" s="43"/>
      <c r="G184" s="177" t="s">
        <v>91</v>
      </c>
      <c r="H184" s="153">
        <f t="shared" si="10"/>
        <v>0</v>
      </c>
      <c r="I184" s="215"/>
      <c r="J184" s="216"/>
      <c r="K184" s="154" t="str">
        <f t="shared" si="9"/>
        <v>N/A</v>
      </c>
      <c r="L184" s="56"/>
      <c r="M184" s="123"/>
    </row>
    <row r="185" spans="1:13" ht="14.4" customHeight="1" x14ac:dyDescent="0.3">
      <c r="A185" s="12">
        <f>MAX($A$153:$A184)+0.01</f>
        <v>5.1599999999999966</v>
      </c>
      <c r="B185" s="215" t="s">
        <v>1197</v>
      </c>
      <c r="C185" s="216"/>
      <c r="D185" s="43"/>
      <c r="E185" s="177" t="s">
        <v>91</v>
      </c>
      <c r="F185" s="43"/>
      <c r="G185" s="177" t="s">
        <v>91</v>
      </c>
      <c r="H185" s="153">
        <f t="shared" si="10"/>
        <v>0</v>
      </c>
      <c r="I185" s="215"/>
      <c r="J185" s="216"/>
      <c r="K185" s="154" t="str">
        <f t="shared" si="9"/>
        <v>N/A</v>
      </c>
      <c r="L185" s="56"/>
      <c r="M185" s="123"/>
    </row>
    <row r="186" spans="1:13" ht="25.8" customHeight="1" x14ac:dyDescent="0.3">
      <c r="A186" s="12">
        <f>MAX($A$153:$A185)+0.01</f>
        <v>5.1699999999999964</v>
      </c>
      <c r="B186" s="215" t="s">
        <v>1198</v>
      </c>
      <c r="C186" s="216"/>
      <c r="D186" s="43"/>
      <c r="E186" s="177" t="s">
        <v>91</v>
      </c>
      <c r="F186" s="43"/>
      <c r="G186" s="177" t="s">
        <v>91</v>
      </c>
      <c r="H186" s="153">
        <f t="shared" si="10"/>
        <v>0</v>
      </c>
      <c r="I186" s="215"/>
      <c r="J186" s="216"/>
      <c r="K186" s="154" t="str">
        <f t="shared" si="9"/>
        <v>N/A</v>
      </c>
      <c r="L186" s="56"/>
      <c r="M186" s="123"/>
    </row>
    <row r="187" spans="1:13" ht="27" customHeight="1" x14ac:dyDescent="0.3">
      <c r="A187" s="12">
        <f>MAX($A$153:$A186)+0.01</f>
        <v>5.1799999999999962</v>
      </c>
      <c r="B187" s="215" t="s">
        <v>1199</v>
      </c>
      <c r="C187" s="216"/>
      <c r="D187" s="43"/>
      <c r="E187" s="177" t="s">
        <v>91</v>
      </c>
      <c r="F187" s="43"/>
      <c r="G187" s="177" t="s">
        <v>91</v>
      </c>
      <c r="H187" s="153">
        <f t="shared" si="10"/>
        <v>0</v>
      </c>
      <c r="I187" s="215"/>
      <c r="J187" s="216"/>
      <c r="K187" s="154" t="str">
        <f t="shared" si="9"/>
        <v>N/A</v>
      </c>
      <c r="L187" s="56"/>
      <c r="M187" s="123"/>
    </row>
    <row r="188" spans="1:13" x14ac:dyDescent="0.3">
      <c r="A188" s="12">
        <f>MAX($A$153:$A187)+0.01</f>
        <v>5.1899999999999959</v>
      </c>
      <c r="B188" s="215" t="s">
        <v>1201</v>
      </c>
      <c r="C188" s="216"/>
      <c r="D188" s="43"/>
      <c r="E188" s="177" t="s">
        <v>91</v>
      </c>
      <c r="F188" s="43"/>
      <c r="G188" s="177" t="s">
        <v>91</v>
      </c>
      <c r="H188" s="153">
        <f t="shared" si="10"/>
        <v>0</v>
      </c>
      <c r="I188" s="215"/>
      <c r="J188" s="216"/>
      <c r="K188" s="154" t="str">
        <f t="shared" si="9"/>
        <v>N/A</v>
      </c>
      <c r="L188" s="56"/>
      <c r="M188" s="123"/>
    </row>
    <row r="189" spans="1:13" x14ac:dyDescent="0.3">
      <c r="A189" s="12">
        <f>MAX($A$153:$A188)+0.01</f>
        <v>5.1999999999999957</v>
      </c>
      <c r="B189" s="215" t="s">
        <v>1200</v>
      </c>
      <c r="C189" s="216"/>
      <c r="D189" s="43"/>
      <c r="E189" s="177" t="s">
        <v>91</v>
      </c>
      <c r="F189" s="43"/>
      <c r="G189" s="177" t="s">
        <v>91</v>
      </c>
      <c r="H189" s="153">
        <f t="shared" si="10"/>
        <v>0</v>
      </c>
      <c r="I189" s="215"/>
      <c r="J189" s="216"/>
      <c r="K189" s="154" t="str">
        <f t="shared" si="9"/>
        <v>N/A</v>
      </c>
      <c r="L189" s="56"/>
      <c r="M189" s="123"/>
    </row>
    <row r="190" spans="1:13" ht="14.4" customHeight="1" x14ac:dyDescent="0.3">
      <c r="A190" s="12">
        <f>MAX($A$153:$A189)+0.01</f>
        <v>5.2099999999999955</v>
      </c>
      <c r="B190" s="215" t="s">
        <v>1203</v>
      </c>
      <c r="C190" s="216"/>
      <c r="D190" s="43"/>
      <c r="E190" s="177" t="s">
        <v>91</v>
      </c>
      <c r="F190" s="43"/>
      <c r="G190" s="177" t="s">
        <v>91</v>
      </c>
      <c r="H190" s="153">
        <f t="shared" ref="H190:H195" si="11">IFERROR(VLOOKUP($E190,$D$203:$E$207,2,FALSE)*VLOOKUP($G190,$D$209:$E$213,2,FALSE),"")</f>
        <v>0</v>
      </c>
      <c r="I190" s="215"/>
      <c r="J190" s="216"/>
      <c r="K190" s="154" t="str">
        <f t="shared" si="9"/>
        <v>N/A</v>
      </c>
      <c r="L190" s="56"/>
      <c r="M190" s="123"/>
    </row>
    <row r="191" spans="1:13" ht="14.4" customHeight="1" x14ac:dyDescent="0.3">
      <c r="A191" s="12">
        <f>MAX($A$153:$A190)+0.01</f>
        <v>5.2199999999999953</v>
      </c>
      <c r="B191" s="215" t="s">
        <v>1204</v>
      </c>
      <c r="C191" s="216"/>
      <c r="D191" s="43"/>
      <c r="E191" s="177" t="s">
        <v>91</v>
      </c>
      <c r="F191" s="43"/>
      <c r="G191" s="177" t="s">
        <v>91</v>
      </c>
      <c r="H191" s="153">
        <f t="shared" si="11"/>
        <v>0</v>
      </c>
      <c r="I191" s="215"/>
      <c r="J191" s="216"/>
      <c r="K191" s="154" t="str">
        <f t="shared" si="9"/>
        <v>N/A</v>
      </c>
      <c r="L191" s="56"/>
      <c r="M191" s="123"/>
    </row>
    <row r="192" spans="1:13" x14ac:dyDescent="0.3">
      <c r="A192" s="12">
        <f>MAX($A$153:$A191)+0.01</f>
        <v>5.2299999999999951</v>
      </c>
      <c r="B192" s="215" t="s">
        <v>1205</v>
      </c>
      <c r="C192" s="216"/>
      <c r="D192" s="43"/>
      <c r="E192" s="177" t="s">
        <v>91</v>
      </c>
      <c r="F192" s="43"/>
      <c r="G192" s="177" t="s">
        <v>91</v>
      </c>
      <c r="H192" s="153">
        <f t="shared" si="11"/>
        <v>0</v>
      </c>
      <c r="I192" s="215"/>
      <c r="J192" s="216"/>
      <c r="K192" s="154" t="str">
        <f t="shared" si="9"/>
        <v>N/A</v>
      </c>
      <c r="L192" s="56"/>
      <c r="M192" s="123"/>
    </row>
    <row r="193" spans="1:13" ht="14.4" customHeight="1" x14ac:dyDescent="0.3">
      <c r="A193" s="12">
        <f>MAX($A$153:$A192)+0.01</f>
        <v>5.2399999999999949</v>
      </c>
      <c r="B193" s="215"/>
      <c r="C193" s="216"/>
      <c r="D193" s="43"/>
      <c r="E193" s="177" t="s">
        <v>91</v>
      </c>
      <c r="F193" s="43"/>
      <c r="G193" s="177" t="s">
        <v>91</v>
      </c>
      <c r="H193" s="153">
        <f t="shared" si="11"/>
        <v>0</v>
      </c>
      <c r="I193" s="215"/>
      <c r="J193" s="216"/>
      <c r="K193" s="154" t="str">
        <f t="shared" si="9"/>
        <v>N/A</v>
      </c>
      <c r="L193" s="56"/>
      <c r="M193" s="123"/>
    </row>
    <row r="194" spans="1:13" ht="14.4" customHeight="1" x14ac:dyDescent="0.3">
      <c r="A194" s="12">
        <f>MAX($A$153:$A193)+0.01</f>
        <v>5.2499999999999947</v>
      </c>
      <c r="B194" s="215"/>
      <c r="C194" s="216"/>
      <c r="D194" s="43"/>
      <c r="E194" s="177" t="s">
        <v>91</v>
      </c>
      <c r="F194" s="43"/>
      <c r="G194" s="177" t="s">
        <v>91</v>
      </c>
      <c r="H194" s="153">
        <f t="shared" si="11"/>
        <v>0</v>
      </c>
      <c r="I194" s="215"/>
      <c r="J194" s="216"/>
      <c r="K194" s="154" t="str">
        <f t="shared" si="9"/>
        <v>N/A</v>
      </c>
      <c r="L194" s="56"/>
      <c r="M194" s="123"/>
    </row>
    <row r="195" spans="1:13" x14ac:dyDescent="0.3">
      <c r="A195" s="12">
        <f>MAX($A$153:$A194)+0.01</f>
        <v>5.2599999999999945</v>
      </c>
      <c r="B195" s="215"/>
      <c r="C195" s="216"/>
      <c r="D195" s="43"/>
      <c r="E195" s="177" t="s">
        <v>91</v>
      </c>
      <c r="F195" s="43"/>
      <c r="G195" s="177" t="s">
        <v>91</v>
      </c>
      <c r="H195" s="153">
        <f t="shared" si="11"/>
        <v>0</v>
      </c>
      <c r="I195" s="215"/>
      <c r="J195" s="216"/>
      <c r="K195" s="154" t="str">
        <f t="shared" si="9"/>
        <v>N/A</v>
      </c>
      <c r="L195" s="56"/>
      <c r="M195" s="123"/>
    </row>
    <row r="196" spans="1:13" x14ac:dyDescent="0.3">
      <c r="K196" s="154" t="str">
        <f t="shared" si="9"/>
        <v>N/A</v>
      </c>
      <c r="L196" s="56"/>
      <c r="M196" s="123"/>
    </row>
    <row r="197" spans="1:13" x14ac:dyDescent="0.3">
      <c r="B197" t="s">
        <v>1031</v>
      </c>
      <c r="D197" s="225" t="str">
        <f>IF(COUNTIF($H$177:$H$195,"&gt;="&amp;$H$207)&gt;0,"Sie können nicht fortfahren, solange Sie hohe Risiken haben; besprechen Sie dies mit der 2. Linie",IF(COUNTIF($H$177:$H$195,"&gt;="&amp;$H$206)&gt;0,"Sie haben immer noch mittlere Risiken; erwägen Sie weitere Massnahmen, bevor Sie weiterfahren","Es ist alles in Ordnung und Sie können fortfahren, sobald Sie oben alles ausgefüllt haben"))</f>
        <v>Es ist alles in Ordnung und Sie können fortfahren, sobald Sie oben alles ausgefüllt haben</v>
      </c>
      <c r="E197" s="225"/>
      <c r="F197" s="225"/>
      <c r="K197" s="154" t="str">
        <f t="shared" si="9"/>
        <v>N/A</v>
      </c>
      <c r="L197" s="56"/>
      <c r="M197" s="123"/>
    </row>
    <row r="198" spans="1:13" x14ac:dyDescent="0.3">
      <c r="K198" s="154" t="str">
        <f t="shared" si="9"/>
        <v>N/A</v>
      </c>
      <c r="L198" s="56"/>
      <c r="M198" s="123"/>
    </row>
    <row r="199" spans="1:13" ht="30" customHeight="1" x14ac:dyDescent="0.3">
      <c r="B199" s="192" t="s">
        <v>1032</v>
      </c>
      <c r="C199" s="193"/>
      <c r="D199" s="189"/>
      <c r="E199" s="190"/>
      <c r="F199" s="190"/>
      <c r="G199" s="190"/>
      <c r="H199" s="190"/>
      <c r="I199" s="190"/>
      <c r="J199" s="190"/>
      <c r="K199" s="154" t="str">
        <f t="shared" si="9"/>
        <v>N/A</v>
      </c>
      <c r="L199" s="56"/>
      <c r="M199" s="123"/>
    </row>
    <row r="200" spans="1:13" x14ac:dyDescent="0.3">
      <c r="K200" s="154" t="str">
        <f t="shared" si="9"/>
        <v>N/A</v>
      </c>
      <c r="L200" s="56"/>
      <c r="M200" s="123"/>
    </row>
    <row r="201" spans="1:13" ht="15.6" customHeight="1" x14ac:dyDescent="0.3">
      <c r="B201" s="227" t="s">
        <v>1214</v>
      </c>
      <c r="C201" s="227"/>
      <c r="D201" s="227"/>
      <c r="E201" s="227"/>
      <c r="F201" s="227"/>
      <c r="G201" s="227"/>
      <c r="H201" s="227"/>
      <c r="I201" s="227"/>
      <c r="J201" s="227"/>
      <c r="K201" s="154" t="str">
        <f t="shared" si="9"/>
        <v>N/A</v>
      </c>
      <c r="L201" s="56"/>
      <c r="M201" s="123"/>
    </row>
    <row r="202" spans="1:13" x14ac:dyDescent="0.3">
      <c r="K202" s="154" t="str">
        <f t="shared" si="9"/>
        <v>N/A</v>
      </c>
      <c r="L202" s="56"/>
      <c r="M202" s="123"/>
    </row>
    <row r="203" spans="1:13" x14ac:dyDescent="0.3">
      <c r="B203" s="7" t="s">
        <v>1207</v>
      </c>
      <c r="C203" s="7"/>
      <c r="D203" s="156" t="s">
        <v>91</v>
      </c>
      <c r="E203" s="157" t="s">
        <v>92</v>
      </c>
      <c r="F203" s="95"/>
      <c r="G203" s="160" t="s">
        <v>1211</v>
      </c>
      <c r="H203" s="108">
        <v>3</v>
      </c>
      <c r="I203" s="7" t="s">
        <v>1212</v>
      </c>
      <c r="J203" s="7"/>
      <c r="K203" s="154" t="str">
        <f t="shared" si="9"/>
        <v>N/A</v>
      </c>
      <c r="L203" s="56"/>
      <c r="M203" s="123"/>
    </row>
    <row r="204" spans="1:13" x14ac:dyDescent="0.3">
      <c r="B204" s="7"/>
      <c r="C204" s="7"/>
      <c r="D204" s="156" t="s">
        <v>1033</v>
      </c>
      <c r="E204" s="157" t="s">
        <v>93</v>
      </c>
      <c r="F204" s="95"/>
      <c r="G204" s="7"/>
      <c r="H204" s="7"/>
      <c r="I204" s="7"/>
      <c r="J204" s="7"/>
      <c r="K204" s="154" t="str">
        <f t="shared" si="9"/>
        <v>N/A</v>
      </c>
      <c r="L204" s="56"/>
      <c r="M204" s="123"/>
    </row>
    <row r="205" spans="1:13" x14ac:dyDescent="0.3">
      <c r="B205" s="7"/>
      <c r="C205" s="7"/>
      <c r="D205" s="156" t="s">
        <v>1034</v>
      </c>
      <c r="E205" s="157" t="s">
        <v>1035</v>
      </c>
      <c r="F205" s="95"/>
      <c r="G205" s="7"/>
      <c r="H205" s="7"/>
      <c r="I205" s="7"/>
      <c r="J205" s="7"/>
      <c r="K205" s="154" t="str">
        <f t="shared" si="9"/>
        <v>N/A</v>
      </c>
      <c r="L205" s="56"/>
      <c r="M205" s="123"/>
    </row>
    <row r="206" spans="1:13" x14ac:dyDescent="0.3">
      <c r="B206" s="7"/>
      <c r="C206" s="7"/>
      <c r="D206" s="156" t="s">
        <v>1036</v>
      </c>
      <c r="E206" s="157" t="s">
        <v>1037</v>
      </c>
      <c r="F206" s="95"/>
      <c r="G206" s="24" t="s">
        <v>1209</v>
      </c>
      <c r="H206" s="108">
        <v>5</v>
      </c>
      <c r="I206" s="55" t="s">
        <v>1208</v>
      </c>
      <c r="J206" s="7"/>
      <c r="K206" s="154" t="str">
        <f t="shared" si="9"/>
        <v>N/A</v>
      </c>
      <c r="L206" s="56"/>
      <c r="M206" s="123"/>
    </row>
    <row r="207" spans="1:13" x14ac:dyDescent="0.3">
      <c r="B207" s="7"/>
      <c r="C207" s="7"/>
      <c r="D207" s="156" t="s">
        <v>1038</v>
      </c>
      <c r="E207" s="157" t="s">
        <v>1039</v>
      </c>
      <c r="F207" s="95"/>
      <c r="G207" s="24" t="s">
        <v>1210</v>
      </c>
      <c r="H207" s="108">
        <v>12</v>
      </c>
      <c r="I207" s="55" t="s">
        <v>1208</v>
      </c>
      <c r="J207" s="7"/>
      <c r="K207" s="154" t="str">
        <f t="shared" si="9"/>
        <v>N/A</v>
      </c>
      <c r="L207" s="56"/>
      <c r="M207" s="123"/>
    </row>
    <row r="208" spans="1:13" x14ac:dyDescent="0.3">
      <c r="D208" s="95"/>
      <c r="E208" s="95"/>
      <c r="F208" s="95"/>
      <c r="G208" s="7"/>
      <c r="H208" s="7"/>
      <c r="I208" s="7"/>
      <c r="J208" s="7"/>
      <c r="K208" s="154" t="str">
        <f t="shared" si="9"/>
        <v>N/A</v>
      </c>
      <c r="L208" s="56"/>
      <c r="M208" s="123"/>
    </row>
    <row r="209" spans="1:13" x14ac:dyDescent="0.3">
      <c r="B209" s="7" t="s">
        <v>1040</v>
      </c>
      <c r="D209" s="156" t="s">
        <v>91</v>
      </c>
      <c r="E209" s="157" t="s">
        <v>92</v>
      </c>
      <c r="F209" s="158">
        <v>4</v>
      </c>
      <c r="G209" s="23">
        <f t="shared" ref="G209:J212" si="12">$F209*G$213</f>
        <v>4</v>
      </c>
      <c r="H209" s="23">
        <f t="shared" si="12"/>
        <v>8</v>
      </c>
      <c r="I209" s="23">
        <f t="shared" si="12"/>
        <v>12</v>
      </c>
      <c r="J209" s="23">
        <f t="shared" si="12"/>
        <v>16</v>
      </c>
      <c r="K209" s="154" t="str">
        <f t="shared" si="9"/>
        <v>N/A</v>
      </c>
      <c r="M209" s="123"/>
    </row>
    <row r="210" spans="1:13" x14ac:dyDescent="0.3">
      <c r="B210" s="7"/>
      <c r="D210" s="156" t="s">
        <v>1041</v>
      </c>
      <c r="E210" s="157" t="s">
        <v>93</v>
      </c>
      <c r="F210" s="158">
        <v>3</v>
      </c>
      <c r="G210" s="23">
        <f t="shared" si="12"/>
        <v>3</v>
      </c>
      <c r="H210" s="23">
        <f t="shared" si="12"/>
        <v>6</v>
      </c>
      <c r="I210" s="23">
        <f t="shared" si="12"/>
        <v>9</v>
      </c>
      <c r="J210" s="23">
        <f t="shared" si="12"/>
        <v>12</v>
      </c>
      <c r="K210" s="154" t="str">
        <f t="shared" si="9"/>
        <v>N/A</v>
      </c>
      <c r="L210" s="24"/>
      <c r="M210" s="123"/>
    </row>
    <row r="211" spans="1:13" x14ac:dyDescent="0.3">
      <c r="B211" s="7"/>
      <c r="D211" s="156" t="s">
        <v>1042</v>
      </c>
      <c r="E211" s="157" t="s">
        <v>1035</v>
      </c>
      <c r="F211" s="158">
        <v>2</v>
      </c>
      <c r="G211" s="23">
        <f t="shared" si="12"/>
        <v>2</v>
      </c>
      <c r="H211" s="23">
        <f t="shared" si="12"/>
        <v>4</v>
      </c>
      <c r="I211" s="23">
        <f t="shared" si="12"/>
        <v>6</v>
      </c>
      <c r="J211" s="23">
        <f t="shared" si="12"/>
        <v>8</v>
      </c>
      <c r="K211" s="154" t="str">
        <f t="shared" si="9"/>
        <v>N/A</v>
      </c>
      <c r="L211" s="23"/>
      <c r="M211" s="123"/>
    </row>
    <row r="212" spans="1:13" x14ac:dyDescent="0.3">
      <c r="B212" s="7"/>
      <c r="D212" s="156" t="s">
        <v>1043</v>
      </c>
      <c r="E212" s="157" t="s">
        <v>1037</v>
      </c>
      <c r="F212" s="158">
        <v>1</v>
      </c>
      <c r="G212" s="23">
        <f t="shared" si="12"/>
        <v>1</v>
      </c>
      <c r="H212" s="23">
        <f t="shared" si="12"/>
        <v>2</v>
      </c>
      <c r="I212" s="23">
        <f t="shared" si="12"/>
        <v>3</v>
      </c>
      <c r="J212" s="23">
        <f t="shared" si="12"/>
        <v>4</v>
      </c>
      <c r="K212" s="154" t="str">
        <f t="shared" si="9"/>
        <v>N/A</v>
      </c>
      <c r="L212" s="23"/>
      <c r="M212" s="123"/>
    </row>
    <row r="213" spans="1:13" x14ac:dyDescent="0.3">
      <c r="B213" s="7"/>
      <c r="D213" s="156" t="s">
        <v>1044</v>
      </c>
      <c r="E213" s="157" t="s">
        <v>1039</v>
      </c>
      <c r="F213" s="95"/>
      <c r="G213" s="23">
        <v>1</v>
      </c>
      <c r="H213" s="23">
        <v>2</v>
      </c>
      <c r="I213" s="23">
        <v>3</v>
      </c>
      <c r="J213" s="23">
        <v>4</v>
      </c>
      <c r="K213" s="154" t="str">
        <f t="shared" si="9"/>
        <v>N/A</v>
      </c>
      <c r="L213" s="23"/>
      <c r="M213" s="123"/>
    </row>
    <row r="214" spans="1:13" x14ac:dyDescent="0.3">
      <c r="K214" s="154" t="str">
        <f t="shared" si="9"/>
        <v>N/A</v>
      </c>
      <c r="L214" s="56"/>
    </row>
    <row r="215" spans="1:13" ht="15.6" x14ac:dyDescent="0.3">
      <c r="A215" s="3" t="s">
        <v>1045</v>
      </c>
      <c r="B215" s="4" t="s">
        <v>1046</v>
      </c>
      <c r="C215" s="4"/>
      <c r="D215" s="2"/>
      <c r="E215" s="2"/>
      <c r="F215" s="2"/>
      <c r="G215" s="2"/>
      <c r="H215" s="5"/>
    </row>
    <row r="216" spans="1:13" x14ac:dyDescent="0.3">
      <c r="A216" s="2"/>
      <c r="B216" s="2"/>
      <c r="C216" s="2"/>
      <c r="D216" s="2"/>
      <c r="E216" s="2"/>
      <c r="F216" s="2"/>
      <c r="G216" s="2"/>
      <c r="H216" s="2"/>
    </row>
    <row r="217" spans="1:13" ht="54" customHeight="1" x14ac:dyDescent="0.3">
      <c r="A217" s="2"/>
      <c r="B217" s="205" t="s">
        <v>1215</v>
      </c>
      <c r="C217" s="205"/>
      <c r="D217" s="205"/>
      <c r="E217" s="205"/>
      <c r="F217" s="205"/>
      <c r="G217" s="205"/>
      <c r="H217" s="205"/>
      <c r="I217" s="205"/>
      <c r="J217" s="205"/>
      <c r="K217" s="205"/>
    </row>
    <row r="218" spans="1:13" ht="10.95" customHeight="1" x14ac:dyDescent="0.3">
      <c r="A218" s="2"/>
      <c r="B218" s="2"/>
      <c r="C218" s="2"/>
      <c r="D218" s="2"/>
      <c r="E218" s="2"/>
      <c r="F218" s="2"/>
      <c r="G218" s="2"/>
      <c r="H218" s="2"/>
    </row>
    <row r="219" spans="1:13" ht="14.4" customHeight="1" x14ac:dyDescent="0.3">
      <c r="A219" s="12">
        <v>6.01</v>
      </c>
      <c r="B219" s="192" t="s">
        <v>1217</v>
      </c>
      <c r="C219" s="192"/>
      <c r="D219" s="213" t="str">
        <f>IF($M$151&gt;0,"(es muss oben noch "&amp;$M$151&amp;" Mal eine Auswahl getroffen werden)",IF($L$151&gt;0,"Sie haben oben noch "&amp;$L$151&amp;" nicht behandelte(s) Aspekt(e). Fahren Sie erst fort, wenn Sie alle Themen behandelt haben.","Die Anwendung weist keine nicht akzeptierten Risiken mehr auf. Sie können vorbehältlich weiterer Einwände oder Änderungen bei Ihren obigen Antworten fortfahren."))</f>
        <v>(es muss oben noch 39 Mal eine Auswahl getroffen werden)</v>
      </c>
      <c r="E219" s="214"/>
      <c r="F219" s="214"/>
      <c r="G219" s="214"/>
      <c r="H219" s="214"/>
      <c r="I219" s="214"/>
      <c r="J219" s="214"/>
      <c r="K219" s="214"/>
      <c r="M219" s="123"/>
    </row>
    <row r="220" spans="1:13" x14ac:dyDescent="0.3">
      <c r="A220" s="2"/>
      <c r="B220" s="2"/>
      <c r="C220" s="2"/>
      <c r="D220" s="2"/>
      <c r="E220" s="2"/>
      <c r="F220" s="2"/>
      <c r="G220" s="2"/>
      <c r="H220" s="2"/>
      <c r="M220" s="123"/>
    </row>
    <row r="221" spans="1:13" x14ac:dyDescent="0.3">
      <c r="A221" s="12">
        <f>MAX($A$215:$A219)+0.01</f>
        <v>6.02</v>
      </c>
      <c r="B221" s="192" t="s">
        <v>1219</v>
      </c>
      <c r="C221" s="193"/>
      <c r="D221" s="155" t="str">
        <f>IF(LEFT($F$221,8)="(Siehe s","N/A",IF($D$166&lt;&gt;"Ja","Keine DSFA durchgeführt",IF(COUNTIF($H$177:$H$195,"&gt;="&amp;$H$207)&gt;0,"Hohe Restrisiken vorhanden; Behörde konsultieren",IF(COUNTIF($H$177:$H$195,"&gt;="&amp;$H$206)&gt;0,"Mittlere Restrisiken vorhanden","Nur tiefe (oder keine) Restrisiken identifiziert"))))</f>
        <v>Keine DSFA durchgeführt</v>
      </c>
      <c r="E221" s="2"/>
      <c r="F221" s="178" t="s">
        <v>1128</v>
      </c>
      <c r="G221" s="2"/>
      <c r="H221" s="2"/>
      <c r="M221" s="123"/>
    </row>
    <row r="222" spans="1:13" x14ac:dyDescent="0.3">
      <c r="A222" s="2"/>
      <c r="B222" s="2"/>
      <c r="C222" s="2"/>
      <c r="D222" s="2"/>
      <c r="E222" s="2"/>
      <c r="F222" s="2"/>
      <c r="G222" s="2"/>
      <c r="H222" s="2"/>
      <c r="M222" s="123"/>
    </row>
    <row r="223" spans="1:13" ht="29.4" customHeight="1" x14ac:dyDescent="0.3">
      <c r="A223" s="12">
        <f>MAX($A$215:$A221)+0.01</f>
        <v>6.0299999999999994</v>
      </c>
      <c r="B223" s="192" t="s">
        <v>1032</v>
      </c>
      <c r="C223" s="193"/>
      <c r="D223" s="189"/>
      <c r="E223" s="190"/>
      <c r="F223" s="190"/>
      <c r="G223" s="190"/>
      <c r="H223" s="190"/>
      <c r="I223" s="190"/>
      <c r="J223" s="190"/>
      <c r="K223" s="191"/>
      <c r="M223" s="123"/>
    </row>
    <row r="224" spans="1:13" ht="33.6" customHeight="1" x14ac:dyDescent="0.3">
      <c r="A224" s="12">
        <f>MAX($A$215:$A222)+0.01</f>
        <v>6.0299999999999994</v>
      </c>
      <c r="B224" s="192" t="s">
        <v>1220</v>
      </c>
      <c r="C224" s="193"/>
      <c r="D224" s="189"/>
      <c r="E224" s="190"/>
      <c r="F224" s="190"/>
      <c r="G224" s="190"/>
      <c r="H224" s="190"/>
      <c r="I224" s="190"/>
      <c r="J224" s="190"/>
      <c r="K224" s="191"/>
      <c r="M224" s="123"/>
    </row>
    <row r="225" spans="1:13" x14ac:dyDescent="0.3">
      <c r="A225" s="12"/>
      <c r="B225" s="2"/>
      <c r="C225" s="2"/>
      <c r="D225" s="2"/>
      <c r="E225" s="2"/>
      <c r="F225" s="2"/>
      <c r="G225" s="2"/>
      <c r="H225" s="2"/>
    </row>
    <row r="226" spans="1:13" x14ac:dyDescent="0.3">
      <c r="A226" s="12">
        <f>MAX($A$215:$A225)+0.01</f>
        <v>6.0399999999999991</v>
      </c>
      <c r="B226" s="192" t="s">
        <v>1221</v>
      </c>
      <c r="C226" s="193"/>
      <c r="D226" s="9" t="s">
        <v>1050</v>
      </c>
      <c r="E226" s="2"/>
      <c r="F226" s="49" t="s">
        <v>1047</v>
      </c>
      <c r="G226" s="2"/>
      <c r="H226" s="2"/>
      <c r="M226" s="123"/>
    </row>
    <row r="227" spans="1:13" x14ac:dyDescent="0.3">
      <c r="A227" s="12"/>
      <c r="B227" s="2"/>
      <c r="C227" s="2"/>
      <c r="D227" s="2"/>
      <c r="E227" s="2"/>
      <c r="F227" s="2"/>
      <c r="G227" s="2"/>
      <c r="H227" s="2"/>
      <c r="M227" s="123"/>
    </row>
    <row r="228" spans="1:13" x14ac:dyDescent="0.3">
      <c r="A228" s="12">
        <f>MAX($A$215:$A227)+0.01</f>
        <v>6.0499999999999989</v>
      </c>
      <c r="B228" s="208" t="s">
        <v>1222</v>
      </c>
      <c r="C228" s="212"/>
      <c r="D228" s="9" t="s">
        <v>1050</v>
      </c>
      <c r="E228" s="2"/>
      <c r="F228" s="49" t="s">
        <v>1048</v>
      </c>
      <c r="G228" s="2"/>
      <c r="H228" s="2"/>
      <c r="M228" s="123"/>
    </row>
    <row r="229" spans="1:13" x14ac:dyDescent="0.3">
      <c r="A229" s="12"/>
      <c r="B229" s="40"/>
      <c r="C229" s="41"/>
      <c r="D229" s="2"/>
      <c r="E229" s="2"/>
      <c r="F229" s="2"/>
      <c r="G229" s="2"/>
      <c r="H229" s="2"/>
      <c r="M229" s="123"/>
    </row>
    <row r="230" spans="1:13" ht="41.7" customHeight="1" x14ac:dyDescent="0.3">
      <c r="A230" s="12">
        <f>MAX($A$215:$A228)+0.01</f>
        <v>6.0599999999999987</v>
      </c>
      <c r="B230" s="192" t="s">
        <v>1223</v>
      </c>
      <c r="C230" s="193"/>
      <c r="D230" s="189"/>
      <c r="E230" s="190"/>
      <c r="F230" s="190"/>
      <c r="G230" s="190"/>
      <c r="H230" s="190"/>
      <c r="I230" s="190"/>
      <c r="J230" s="190"/>
      <c r="K230" s="191"/>
      <c r="M230" s="123"/>
    </row>
    <row r="231" spans="1:13" x14ac:dyDescent="0.3">
      <c r="B231" s="7"/>
    </row>
    <row r="232" spans="1:13" x14ac:dyDescent="0.3">
      <c r="D232" s="20" t="str">
        <f>"Bitte wiederholen Sie diese Risikobeurteilung sobald die Anwendung wesentlich geändert wird, spätestens aber bis zum "&amp;IFERROR(TEXT(EDATE($F$9,$E$151*12),"[$-409]T. MMMM, JJJJ"),"[bitte das Datum in E102 einfügen]")&amp;"."</f>
        <v>Bitte wiederholen Sie diese Risikobeurteilung sobald die Anwendung wesentlich geändert wird, spätestens aber bis zum 1. April, 2027.</v>
      </c>
    </row>
    <row r="233" spans="1:13" x14ac:dyDescent="0.3">
      <c r="B233" s="7"/>
    </row>
    <row r="234" spans="1:13" ht="14.4" customHeight="1" x14ac:dyDescent="0.3">
      <c r="B234" s="205"/>
      <c r="C234" s="205"/>
      <c r="D234" s="205"/>
      <c r="E234" s="205"/>
      <c r="F234" s="205"/>
      <c r="G234" s="205"/>
      <c r="H234" s="205"/>
      <c r="I234" s="205"/>
      <c r="J234" s="205"/>
      <c r="K234" s="205"/>
    </row>
    <row r="235" spans="1:13" x14ac:dyDescent="0.3">
      <c r="B235" t="s">
        <v>1224</v>
      </c>
    </row>
    <row r="237" spans="1:13" ht="40.799999999999997" customHeight="1" x14ac:dyDescent="0.3">
      <c r="A237" s="125" t="str">
        <f>ROW($A237)-ROW($A$236)&amp;")"</f>
        <v>1)</v>
      </c>
      <c r="B237" s="205" t="s">
        <v>1225</v>
      </c>
      <c r="C237" s="205"/>
      <c r="D237" s="205"/>
      <c r="E237" s="205"/>
      <c r="F237" s="205"/>
      <c r="G237" s="205"/>
      <c r="H237" s="205"/>
      <c r="I237" s="205"/>
      <c r="J237" s="205"/>
      <c r="K237" s="205"/>
    </row>
    <row r="238" spans="1:13" ht="40.799999999999997" customHeight="1" x14ac:dyDescent="0.3">
      <c r="A238" s="125" t="str">
        <f t="shared" ref="A238:A248" si="13">ROW($A238)-ROW($A$236)&amp;")"</f>
        <v>2)</v>
      </c>
      <c r="B238" s="205" t="s">
        <v>1227</v>
      </c>
      <c r="C238" s="205"/>
      <c r="D238" s="205"/>
      <c r="E238" s="205"/>
      <c r="F238" s="205"/>
      <c r="G238" s="205"/>
      <c r="H238" s="205"/>
      <c r="I238" s="205"/>
      <c r="J238" s="205"/>
      <c r="K238" s="205"/>
    </row>
    <row r="239" spans="1:13" ht="40.200000000000003" customHeight="1" x14ac:dyDescent="0.3">
      <c r="A239" s="125" t="str">
        <f t="shared" si="13"/>
        <v>3)</v>
      </c>
      <c r="B239" s="205" t="s">
        <v>1230</v>
      </c>
      <c r="C239" s="205"/>
      <c r="D239" s="205"/>
      <c r="E239" s="205"/>
      <c r="F239" s="205"/>
      <c r="G239" s="205"/>
      <c r="H239" s="205"/>
      <c r="I239" s="205"/>
      <c r="J239" s="205"/>
      <c r="K239" s="205"/>
    </row>
    <row r="240" spans="1:13" ht="29.4" customHeight="1" x14ac:dyDescent="0.3">
      <c r="A240" s="125" t="str">
        <f t="shared" si="13"/>
        <v>4)</v>
      </c>
      <c r="B240" s="205" t="s">
        <v>1231</v>
      </c>
      <c r="C240" s="205"/>
      <c r="D240" s="205"/>
      <c r="E240" s="205"/>
      <c r="F240" s="205"/>
      <c r="G240" s="205"/>
      <c r="H240" s="205"/>
      <c r="I240" s="205"/>
      <c r="J240" s="205"/>
      <c r="K240" s="205"/>
    </row>
    <row r="241" spans="1:11" ht="39" customHeight="1" x14ac:dyDescent="0.3">
      <c r="A241" s="125" t="str">
        <f t="shared" si="13"/>
        <v>5)</v>
      </c>
      <c r="B241" s="205" t="s">
        <v>1232</v>
      </c>
      <c r="C241" s="205"/>
      <c r="D241" s="205"/>
      <c r="E241" s="205"/>
      <c r="F241" s="205"/>
      <c r="G241" s="205"/>
      <c r="H241" s="205"/>
      <c r="I241" s="205"/>
      <c r="J241" s="205"/>
      <c r="K241" s="205"/>
    </row>
    <row r="242" spans="1:11" ht="52.2" customHeight="1" x14ac:dyDescent="0.3">
      <c r="A242" s="125" t="str">
        <f t="shared" si="13"/>
        <v>6)</v>
      </c>
      <c r="B242" s="205" t="s">
        <v>1233</v>
      </c>
      <c r="C242" s="205"/>
      <c r="D242" s="205"/>
      <c r="E242" s="205"/>
      <c r="F242" s="205"/>
      <c r="G242" s="205"/>
      <c r="H242" s="205"/>
      <c r="I242" s="205"/>
      <c r="J242" s="205"/>
      <c r="K242" s="205"/>
    </row>
    <row r="243" spans="1:11" ht="17.399999999999999" customHeight="1" x14ac:dyDescent="0.3">
      <c r="A243" s="125" t="str">
        <f t="shared" si="13"/>
        <v>7)</v>
      </c>
      <c r="B243" s="205" t="s">
        <v>1234</v>
      </c>
      <c r="C243" s="205"/>
      <c r="D243" s="205"/>
      <c r="E243" s="205"/>
      <c r="F243" s="205"/>
      <c r="G243" s="205"/>
      <c r="H243" s="205"/>
      <c r="I243" s="205"/>
      <c r="J243" s="205"/>
      <c r="K243" s="205"/>
    </row>
    <row r="244" spans="1:11" ht="27" customHeight="1" x14ac:dyDescent="0.3">
      <c r="A244" s="125" t="str">
        <f t="shared" si="13"/>
        <v>8)</v>
      </c>
      <c r="B244" s="205" t="s">
        <v>1053</v>
      </c>
      <c r="C244" s="205"/>
      <c r="D244" s="205"/>
      <c r="E244" s="205"/>
      <c r="F244" s="205"/>
      <c r="G244" s="205"/>
      <c r="H244" s="205"/>
      <c r="I244" s="205"/>
      <c r="J244" s="205"/>
      <c r="K244" s="205"/>
    </row>
    <row r="245" spans="1:11" ht="40.200000000000003" customHeight="1" x14ac:dyDescent="0.3">
      <c r="A245" s="125" t="str">
        <f t="shared" si="13"/>
        <v>9)</v>
      </c>
      <c r="B245" s="205" t="s">
        <v>1235</v>
      </c>
      <c r="C245" s="205"/>
      <c r="D245" s="205"/>
      <c r="E245" s="205"/>
      <c r="F245" s="205"/>
      <c r="G245" s="205"/>
      <c r="H245" s="205"/>
      <c r="I245" s="205"/>
      <c r="J245" s="205"/>
      <c r="K245" s="205"/>
    </row>
    <row r="246" spans="1:11" ht="39" customHeight="1" x14ac:dyDescent="0.3">
      <c r="A246" s="125" t="str">
        <f t="shared" si="13"/>
        <v>10)</v>
      </c>
      <c r="B246" s="205" t="s">
        <v>1236</v>
      </c>
      <c r="C246" s="205"/>
      <c r="D246" s="205"/>
      <c r="E246" s="205"/>
      <c r="F246" s="205"/>
      <c r="G246" s="205"/>
      <c r="H246" s="205"/>
      <c r="I246" s="205"/>
      <c r="J246" s="205"/>
      <c r="K246" s="205"/>
    </row>
    <row r="247" spans="1:11" ht="76.2" customHeight="1" x14ac:dyDescent="0.3">
      <c r="A247" s="125" t="str">
        <f t="shared" si="13"/>
        <v>11)</v>
      </c>
      <c r="B247" s="205" t="s">
        <v>1237</v>
      </c>
      <c r="C247" s="205"/>
      <c r="D247" s="205"/>
      <c r="E247" s="205"/>
      <c r="F247" s="205"/>
      <c r="G247" s="205"/>
      <c r="H247" s="205"/>
      <c r="I247" s="205"/>
      <c r="J247" s="205"/>
      <c r="K247" s="205"/>
    </row>
    <row r="248" spans="1:11" ht="36.6" customHeight="1" x14ac:dyDescent="0.3">
      <c r="A248" s="125" t="str">
        <f t="shared" si="13"/>
        <v>12)</v>
      </c>
      <c r="B248" s="205" t="s">
        <v>1238</v>
      </c>
      <c r="C248" s="205"/>
      <c r="D248" s="205"/>
      <c r="E248" s="205"/>
      <c r="F248" s="205"/>
      <c r="G248" s="205"/>
      <c r="H248" s="205"/>
      <c r="I248" s="205"/>
      <c r="J248" s="205"/>
      <c r="K248" s="205"/>
    </row>
    <row r="249" spans="1:11" x14ac:dyDescent="0.3">
      <c r="B249" s="205"/>
      <c r="C249" s="205"/>
      <c r="D249" s="205"/>
      <c r="E249" s="205"/>
      <c r="F249" s="205"/>
      <c r="G249" s="205"/>
      <c r="H249" s="205"/>
      <c r="I249" s="205"/>
      <c r="J249" s="205"/>
      <c r="K249" s="205"/>
    </row>
    <row r="250" spans="1:11" ht="30.6" customHeight="1" x14ac:dyDescent="0.3">
      <c r="A250" s="221" t="s">
        <v>1049</v>
      </c>
      <c r="B250" s="221"/>
      <c r="C250" s="221"/>
      <c r="D250" s="221"/>
      <c r="E250" s="221"/>
      <c r="F250" s="221"/>
      <c r="G250" s="221"/>
      <c r="H250" s="221"/>
      <c r="I250" s="92"/>
    </row>
    <row r="251" spans="1:11" ht="47.4" customHeight="1" x14ac:dyDescent="0.3">
      <c r="A251" s="221" t="s">
        <v>1307</v>
      </c>
      <c r="B251" s="221"/>
      <c r="C251" s="221"/>
      <c r="D251" s="221"/>
      <c r="E251" s="221"/>
      <c r="F251" s="221"/>
      <c r="G251" s="221"/>
      <c r="H251" s="221"/>
      <c r="I251" s="92"/>
    </row>
  </sheetData>
  <sheetProtection sheet="1" objects="1" scenarios="1" formatCells="0" formatColumns="0" formatRows="0"/>
  <protectedRanges>
    <protectedRange sqref="E168" name="Bereich11"/>
    <protectedRange sqref="E168" name="Bereich10"/>
    <protectedRange sqref="B177:G195 I177:J195 D199 E159:E164" name="Bereich8"/>
    <protectedRange sqref="E48 E51:E52 E56:F65 E71:F73" name="Bereich7"/>
    <protectedRange sqref="F221 D223:D224 D226 D228 D230" name="Bereich6"/>
    <protectedRange sqref="D209:D213 H206:H207 H203" name="Bereich4_3"/>
    <protectedRange sqref="D203:D207" name="Bereich4_1"/>
    <protectedRange sqref="D6:D9 F9 D11 D13:D14 D20:D22 D40 D24:D38 E49:E50" name="Bereich1"/>
    <protectedRange sqref="D96 F96 E85:E92 E48 E51:E52 E56:E65 E71:E73" name="Bereich2"/>
    <protectedRange sqref="E104:F110 E151 H125:J149 E125:F149 E159:E164 E114:F121 H114:J121" name="Bereich3"/>
    <protectedRange sqref="D23:H23" name="Bereich9"/>
  </protectedRanges>
  <mergeCells count="238">
    <mergeCell ref="B174:C174"/>
    <mergeCell ref="D174:G174"/>
    <mergeCell ref="B193:C193"/>
    <mergeCell ref="I193:J193"/>
    <mergeCell ref="I180:J180"/>
    <mergeCell ref="I181:J181"/>
    <mergeCell ref="I182:J182"/>
    <mergeCell ref="I183:J183"/>
    <mergeCell ref="I184:J184"/>
    <mergeCell ref="I185:J185"/>
    <mergeCell ref="I186:J186"/>
    <mergeCell ref="I187:J187"/>
    <mergeCell ref="I188:J188"/>
    <mergeCell ref="I189:J189"/>
    <mergeCell ref="B190:C190"/>
    <mergeCell ref="I190:J190"/>
    <mergeCell ref="B191:C191"/>
    <mergeCell ref="I191:J191"/>
    <mergeCell ref="B192:C192"/>
    <mergeCell ref="I192:J192"/>
    <mergeCell ref="B184:C184"/>
    <mergeCell ref="B185:C185"/>
    <mergeCell ref="B186:C186"/>
    <mergeCell ref="B187:C187"/>
    <mergeCell ref="B188:C188"/>
    <mergeCell ref="B189:C189"/>
    <mergeCell ref="B248:K248"/>
    <mergeCell ref="B249:K249"/>
    <mergeCell ref="A250:H250"/>
    <mergeCell ref="A251:H251"/>
    <mergeCell ref="B242:K242"/>
    <mergeCell ref="B243:K243"/>
    <mergeCell ref="B244:K244"/>
    <mergeCell ref="B245:K245"/>
    <mergeCell ref="B246:K246"/>
    <mergeCell ref="B247:K247"/>
    <mergeCell ref="B234:K234"/>
    <mergeCell ref="B237:K237"/>
    <mergeCell ref="B238:K238"/>
    <mergeCell ref="B239:K239"/>
    <mergeCell ref="B240:K240"/>
    <mergeCell ref="B241:K241"/>
    <mergeCell ref="B224:C224"/>
    <mergeCell ref="D224:K224"/>
    <mergeCell ref="B226:C226"/>
    <mergeCell ref="B228:C228"/>
    <mergeCell ref="B230:C230"/>
    <mergeCell ref="D230:K230"/>
    <mergeCell ref="B217:K217"/>
    <mergeCell ref="B219:C219"/>
    <mergeCell ref="D219:K219"/>
    <mergeCell ref="B221:C221"/>
    <mergeCell ref="B223:C223"/>
    <mergeCell ref="D223:K223"/>
    <mergeCell ref="B194:C194"/>
    <mergeCell ref="I194:J194"/>
    <mergeCell ref="B195:C195"/>
    <mergeCell ref="I195:J195"/>
    <mergeCell ref="D197:F197"/>
    <mergeCell ref="B199:C199"/>
    <mergeCell ref="D199:J199"/>
    <mergeCell ref="B201:J201"/>
    <mergeCell ref="B179:C179"/>
    <mergeCell ref="I179:J179"/>
    <mergeCell ref="B180:C180"/>
    <mergeCell ref="B181:C181"/>
    <mergeCell ref="B182:C182"/>
    <mergeCell ref="B183:C183"/>
    <mergeCell ref="B176:C176"/>
    <mergeCell ref="I176:J176"/>
    <mergeCell ref="B177:C177"/>
    <mergeCell ref="I177:J177"/>
    <mergeCell ref="B178:C178"/>
    <mergeCell ref="I178:J178"/>
    <mergeCell ref="B164:D164"/>
    <mergeCell ref="B166:C166"/>
    <mergeCell ref="D166:E166"/>
    <mergeCell ref="B170:C170"/>
    <mergeCell ref="B172:G172"/>
    <mergeCell ref="I172:J172"/>
    <mergeCell ref="B157:C157"/>
    <mergeCell ref="B159:D159"/>
    <mergeCell ref="B160:D160"/>
    <mergeCell ref="B161:D161"/>
    <mergeCell ref="B162:D162"/>
    <mergeCell ref="B163:D163"/>
    <mergeCell ref="B168:D168"/>
    <mergeCell ref="B146:D146"/>
    <mergeCell ref="B147:D147"/>
    <mergeCell ref="B148:D148"/>
    <mergeCell ref="B149:D149"/>
    <mergeCell ref="B151:D151"/>
    <mergeCell ref="B155:H155"/>
    <mergeCell ref="B140:D140"/>
    <mergeCell ref="B141:D141"/>
    <mergeCell ref="B142:D142"/>
    <mergeCell ref="B143:D143"/>
    <mergeCell ref="B144:D144"/>
    <mergeCell ref="B145:D145"/>
    <mergeCell ref="B134:D134"/>
    <mergeCell ref="B135:D135"/>
    <mergeCell ref="B136:D136"/>
    <mergeCell ref="B137:D137"/>
    <mergeCell ref="B138:D138"/>
    <mergeCell ref="B139:D139"/>
    <mergeCell ref="B128:D128"/>
    <mergeCell ref="B129:D129"/>
    <mergeCell ref="B130:D130"/>
    <mergeCell ref="B131:D131"/>
    <mergeCell ref="B132:D132"/>
    <mergeCell ref="B133:D133"/>
    <mergeCell ref="B121:D121"/>
    <mergeCell ref="B122:D122"/>
    <mergeCell ref="B123:C123"/>
    <mergeCell ref="B125:D125"/>
    <mergeCell ref="B126:D126"/>
    <mergeCell ref="B127:D127"/>
    <mergeCell ref="B115:D115"/>
    <mergeCell ref="B116:D116"/>
    <mergeCell ref="B117:D117"/>
    <mergeCell ref="B118:D118"/>
    <mergeCell ref="B119:D119"/>
    <mergeCell ref="B120:D120"/>
    <mergeCell ref="B107:D107"/>
    <mergeCell ref="B108:D108"/>
    <mergeCell ref="B109:D109"/>
    <mergeCell ref="B110:D110"/>
    <mergeCell ref="B112:C112"/>
    <mergeCell ref="B114:D114"/>
    <mergeCell ref="B99:D99"/>
    <mergeCell ref="B101:H101"/>
    <mergeCell ref="B102:D102"/>
    <mergeCell ref="B104:D104"/>
    <mergeCell ref="B105:D105"/>
    <mergeCell ref="B106:D106"/>
    <mergeCell ref="B92:D92"/>
    <mergeCell ref="B93:D93"/>
    <mergeCell ref="B94:C94"/>
    <mergeCell ref="D94:G94"/>
    <mergeCell ref="B96:C96"/>
    <mergeCell ref="F96:H97"/>
    <mergeCell ref="B86:D86"/>
    <mergeCell ref="B87:D87"/>
    <mergeCell ref="B88:D88"/>
    <mergeCell ref="B89:D89"/>
    <mergeCell ref="B90:D90"/>
    <mergeCell ref="B91:D91"/>
    <mergeCell ref="D77:E77"/>
    <mergeCell ref="D78:E78"/>
    <mergeCell ref="D79:E79"/>
    <mergeCell ref="B81:D81"/>
    <mergeCell ref="B83:H83"/>
    <mergeCell ref="B85:D85"/>
    <mergeCell ref="B65:D65"/>
    <mergeCell ref="G65:H65"/>
    <mergeCell ref="B67:H67"/>
    <mergeCell ref="B71:D71"/>
    <mergeCell ref="G71:H73"/>
    <mergeCell ref="B72:D72"/>
    <mergeCell ref="B73:D73"/>
    <mergeCell ref="B60:D60"/>
    <mergeCell ref="G60:H63"/>
    <mergeCell ref="B61:D61"/>
    <mergeCell ref="B62:D62"/>
    <mergeCell ref="B63:D63"/>
    <mergeCell ref="B64:D64"/>
    <mergeCell ref="G64:H64"/>
    <mergeCell ref="B51:D51"/>
    <mergeCell ref="G51:H51"/>
    <mergeCell ref="B52:D52"/>
    <mergeCell ref="G52:H52"/>
    <mergeCell ref="B56:D56"/>
    <mergeCell ref="G56:H59"/>
    <mergeCell ref="B57:D57"/>
    <mergeCell ref="B58:D58"/>
    <mergeCell ref="B59:D59"/>
    <mergeCell ref="B48:D48"/>
    <mergeCell ref="G48:H48"/>
    <mergeCell ref="B49:D49"/>
    <mergeCell ref="E49:F49"/>
    <mergeCell ref="G49:H49"/>
    <mergeCell ref="B50:D50"/>
    <mergeCell ref="E50:F50"/>
    <mergeCell ref="G50:H50"/>
    <mergeCell ref="B38:C38"/>
    <mergeCell ref="D38:H38"/>
    <mergeCell ref="B40:C40"/>
    <mergeCell ref="D40:H40"/>
    <mergeCell ref="B42:D42"/>
    <mergeCell ref="B44:H44"/>
    <mergeCell ref="B35:C35"/>
    <mergeCell ref="D35:H35"/>
    <mergeCell ref="B36:C36"/>
    <mergeCell ref="D36:H36"/>
    <mergeCell ref="B37:C37"/>
    <mergeCell ref="D37:H37"/>
    <mergeCell ref="B32:C32"/>
    <mergeCell ref="D32:H32"/>
    <mergeCell ref="B33:C33"/>
    <mergeCell ref="D33:H33"/>
    <mergeCell ref="B34:C34"/>
    <mergeCell ref="D34:H34"/>
    <mergeCell ref="B29:C29"/>
    <mergeCell ref="D29:H29"/>
    <mergeCell ref="B30:C30"/>
    <mergeCell ref="D30:H30"/>
    <mergeCell ref="B31:C31"/>
    <mergeCell ref="D31:H31"/>
    <mergeCell ref="B26:C26"/>
    <mergeCell ref="D26:H26"/>
    <mergeCell ref="B27:C27"/>
    <mergeCell ref="D27:H27"/>
    <mergeCell ref="B28:C28"/>
    <mergeCell ref="D28:H28"/>
    <mergeCell ref="B23:C23"/>
    <mergeCell ref="D23:H23"/>
    <mergeCell ref="B24:C24"/>
    <mergeCell ref="D24:H24"/>
    <mergeCell ref="B25:C25"/>
    <mergeCell ref="D25:H25"/>
    <mergeCell ref="B20:C20"/>
    <mergeCell ref="D20:H20"/>
    <mergeCell ref="B21:C21"/>
    <mergeCell ref="D21:H21"/>
    <mergeCell ref="B22:C22"/>
    <mergeCell ref="D22:H22"/>
    <mergeCell ref="D11:F11"/>
    <mergeCell ref="A13:C13"/>
    <mergeCell ref="D13:F13"/>
    <mergeCell ref="A14:C14"/>
    <mergeCell ref="D14:F14"/>
    <mergeCell ref="B18:H18"/>
    <mergeCell ref="A1:D1"/>
    <mergeCell ref="A2:E2"/>
    <mergeCell ref="A4:F4"/>
    <mergeCell ref="D6:F6"/>
    <mergeCell ref="D7:F7"/>
    <mergeCell ref="D8:F8"/>
  </mergeCells>
  <conditionalFormatting sqref="A69">
    <cfRule type="expression" dxfId="133" priority="16">
      <formula>$I$50=0</formula>
    </cfRule>
  </conditionalFormatting>
  <conditionalFormatting sqref="A168:B168">
    <cfRule type="expression" dxfId="132" priority="3">
      <formula>$K168="N/A"</formula>
    </cfRule>
  </conditionalFormatting>
  <conditionalFormatting sqref="A174:B174 D174 H174:J174">
    <cfRule type="expression" dxfId="131" priority="6">
      <formula>$K174="N/A"</formula>
    </cfRule>
  </conditionalFormatting>
  <conditionalFormatting sqref="A57:F59">
    <cfRule type="expression" dxfId="130" priority="17">
      <formula>$E$56="Nein"</formula>
    </cfRule>
  </conditionalFormatting>
  <conditionalFormatting sqref="A49:H51">
    <cfRule type="expression" dxfId="129" priority="20">
      <formula>$I$48=0</formula>
    </cfRule>
  </conditionalFormatting>
  <conditionalFormatting sqref="A51:H51 G53:H53 A54 E54:H54 A55:D55 G55:H55 A70:D70 G70:H70">
    <cfRule type="expression" dxfId="128" priority="13">
      <formula>$I$50=0</formula>
    </cfRule>
  </conditionalFormatting>
  <conditionalFormatting sqref="A54:H73">
    <cfRule type="expression" dxfId="127" priority="12">
      <formula>$I$48+$I$52=0</formula>
    </cfRule>
  </conditionalFormatting>
  <conditionalFormatting sqref="A60:H63">
    <cfRule type="expression" dxfId="126" priority="19">
      <formula>$I$51=0</formula>
    </cfRule>
  </conditionalFormatting>
  <conditionalFormatting sqref="A64:H64">
    <cfRule type="expression" dxfId="125" priority="18">
      <formula>$I$63=1</formula>
    </cfRule>
  </conditionalFormatting>
  <conditionalFormatting sqref="A104:K154 A155:B155 I155:K155 A156:K167 A169:K169 A170:B170 D170:K170 A171:J171 K171:K214 A172:B172 H172:I172 A173:J173 A175:J175 A176:I176 A177:J200 A201:B201 A202:J214">
    <cfRule type="expression" dxfId="124" priority="7">
      <formula>$K104="N/A"</formula>
    </cfRule>
  </conditionalFormatting>
  <conditionalFormatting sqref="D78">
    <cfRule type="expression" dxfId="123" priority="14">
      <formula>$I$49=1</formula>
    </cfRule>
    <cfRule type="expression" dxfId="122" priority="15">
      <formula>$I$51=1</formula>
    </cfRule>
  </conditionalFormatting>
  <conditionalFormatting sqref="D94">
    <cfRule type="beginsWith" dxfId="121" priority="32" operator="beginsWith" text="Aufgrund der">
      <formula>LEFT(D94,LEN("Aufgrund der"))="Aufgrund der"</formula>
    </cfRule>
    <cfRule type="beginsWith" dxfId="120" priority="33" operator="beginsWith" text="Ihre Anwendung scheint">
      <formula>LEFT(D94,LEN("Ihre Anwendung scheint"))="Ihre Anwendung scheint"</formula>
    </cfRule>
  </conditionalFormatting>
  <conditionalFormatting sqref="D197">
    <cfRule type="expression" dxfId="119" priority="11">
      <formula>LEFT($D$197,5)="Sie h"</formula>
    </cfRule>
    <cfRule type="expression" dxfId="118" priority="24">
      <formula>LEFT($D$197,5)="Sie k"</formula>
    </cfRule>
  </conditionalFormatting>
  <conditionalFormatting sqref="D221">
    <cfRule type="expression" dxfId="117" priority="8">
      <formula>LEFT($D$221,5)="Mittl"</formula>
    </cfRule>
    <cfRule type="expression" dxfId="116" priority="9">
      <formula>LEFT($D$221,5)="Hohe "</formula>
    </cfRule>
  </conditionalFormatting>
  <conditionalFormatting sqref="D226">
    <cfRule type="cellIs" dxfId="115" priority="36" operator="equal">
      <formula>"Tief"</formula>
    </cfRule>
    <cfRule type="cellIs" dxfId="114" priority="37" operator="equal">
      <formula>"Mittel"</formula>
    </cfRule>
    <cfRule type="cellIs" dxfId="113" priority="38" operator="equal">
      <formula>"Hoch"</formula>
    </cfRule>
    <cfRule type="cellIs" dxfId="112" priority="39" operator="equal">
      <formula>"Sehr hoch"</formula>
    </cfRule>
  </conditionalFormatting>
  <conditionalFormatting sqref="D219:K219">
    <cfRule type="beginsWith" dxfId="109" priority="34" operator="beginsWith" text="Sie haben">
      <formula>LEFT(D219,LEN("Sie haben"))="Sie haben"</formula>
    </cfRule>
    <cfRule type="beginsWith" dxfId="108" priority="35" operator="beginsWith" text="Die Anwendung">
      <formula>LEFT(D219,LEN("Die Anwendung"))="Die Anwendung"</formula>
    </cfRule>
  </conditionalFormatting>
  <conditionalFormatting sqref="E168:K168">
    <cfRule type="expression" dxfId="107" priority="1">
      <formula>$K168="N/A"</formula>
    </cfRule>
  </conditionalFormatting>
  <conditionalFormatting sqref="G114:G121 G125:G149">
    <cfRule type="cellIs" dxfId="106" priority="26" operator="equal">
      <formula>"Warnung!"</formula>
    </cfRule>
  </conditionalFormatting>
  <conditionalFormatting sqref="G114:H121 G125:H149">
    <cfRule type="cellIs" dxfId="105" priority="25" operator="equal">
      <formula>"OK"</formula>
    </cfRule>
  </conditionalFormatting>
  <conditionalFormatting sqref="G209:J212 H177:H195">
    <cfRule type="colorScale" priority="42">
      <colorScale>
        <cfvo type="num" val="$G$212"/>
        <cfvo type="num" val="$H$206"/>
        <cfvo type="num" val="16"/>
        <color rgb="FF63BE7B"/>
        <color rgb="FFFFEB84"/>
        <color rgb="FFF8696B"/>
      </colorScale>
    </cfRule>
  </conditionalFormatting>
  <conditionalFormatting sqref="H94">
    <cfRule type="expression" dxfId="104" priority="21">
      <formula>IF(LEFT($D$94,8)="Aufgrund",FALSE,TRUE)</formula>
    </cfRule>
  </conditionalFormatting>
  <conditionalFormatting sqref="H114:H121 H125:H149">
    <cfRule type="cellIs" dxfId="103" priority="27" operator="equal">
      <formula>"Nicht OK"</formula>
    </cfRule>
    <cfRule type="cellIs" dxfId="102" priority="28" operator="equal">
      <formula>"Risikoentscheid"</formula>
    </cfRule>
  </conditionalFormatting>
  <conditionalFormatting sqref="H177:H195">
    <cfRule type="cellIs" dxfId="101" priority="10" operator="equal">
      <formula>0</formula>
    </cfRule>
  </conditionalFormatting>
  <conditionalFormatting sqref="H114:J121 H125:J149">
    <cfRule type="expression" dxfId="100" priority="23">
      <formula>OR($K114="N/A",NOT($G114="Warnung!"))</formula>
    </cfRule>
  </conditionalFormatting>
  <conditionalFormatting sqref="J114:J121 J125:J149">
    <cfRule type="cellIs" dxfId="99" priority="29" operator="equal">
      <formula>"Akzeptiert"</formula>
    </cfRule>
    <cfRule type="cellIs" dxfId="98" priority="30" operator="equal">
      <formula>"Mitigieren"</formula>
    </cfRule>
    <cfRule type="cellIs" dxfId="97" priority="31" operator="equal">
      <formula>"Nicht akzeptiert"</formula>
    </cfRule>
    <cfRule type="expression" dxfId="96" priority="22">
      <formula>OR($K114="N/A",$H114="")</formula>
    </cfRule>
  </conditionalFormatting>
  <dataValidations count="12">
    <dataValidation type="list" allowBlank="1" showInputMessage="1" showErrorMessage="1" sqref="F221" xr:uid="{F9D53E2C-5CE9-4CF6-AAEF-C75D82D5E7C5}">
      <formula1>"(siehe DSFA oben),(siehe separate DSFA)"</formula1>
    </dataValidation>
    <dataValidation type="list" allowBlank="1" showInputMessage="1" showErrorMessage="1" sqref="G177:G195" xr:uid="{74902E94-9516-4DC3-B06B-8C7E30AB89B8}">
      <formula1>$D$209:$D$213</formula1>
    </dataValidation>
    <dataValidation type="list" allowBlank="1" showInputMessage="1" showErrorMessage="1" sqref="E177:E195" xr:uid="{8E222C29-CD72-419D-A791-F56DF2EE789F}">
      <formula1>$D$203:$D$207</formula1>
    </dataValidation>
    <dataValidation type="decimal" allowBlank="1" showInputMessage="1" showErrorMessage="1" errorTitle="Validity" error="Only amounts between 0.1 and 5.0 are permitted." sqref="E151" xr:uid="{67B8CABE-5801-4CDC-B6FC-D18BE88BEF54}">
      <formula1>0.1</formula1>
      <formula2>5</formula2>
    </dataValidation>
    <dataValidation type="list" allowBlank="1" showInputMessage="1" showErrorMessage="1" sqref="D228" xr:uid="{3A6F62B9-6503-42B7-8FB2-03144BEA352C}">
      <formula1>"(wählen),Implementieren,Vorderhand nicht implementieren,Detaillierte Risikobeurteilung durchführen"</formula1>
    </dataValidation>
    <dataValidation type="list" allowBlank="1" showInputMessage="1" showErrorMessage="1" sqref="J125:J149 J114:J121" xr:uid="{1303C3AD-727A-402C-AFEA-63645EC8345A}">
      <formula1>"(wählen),Akzeptiert,Mitigieren,Nicht akzeptiert,N/A"</formula1>
    </dataValidation>
    <dataValidation type="list" allowBlank="1" showInputMessage="1" showErrorMessage="1" sqref="H125:H149 H114:H121" xr:uid="{524166DE-705C-465F-B96A-7FB91098026B}">
      <formula1>"(wählen),OK,Risikoentscheid,Nicht OK,N/A"</formula1>
    </dataValidation>
    <dataValidation type="list" allowBlank="1" showInputMessage="1" showErrorMessage="1" sqref="E159:E164 E56:E65 E51:E52 E48 E71:E73 E85:E92 E104 E108:E110" xr:uid="{A7591F99-63F1-4C38-B2A3-80CC191A89C0}">
      <formula1>"(wählen),Ja,Nein"</formula1>
    </dataValidation>
    <dataValidation type="list" allowBlank="1" showInputMessage="1" showErrorMessage="1" sqref="D96" xr:uid="{57514B4C-7A4C-4EEC-AF0F-2D12006FDB7B}">
      <formula1>"(wählen),Umfassende Risikobeurteilung,Vereinfachte Risikobeurteilung (nachfolgend)"</formula1>
    </dataValidation>
    <dataValidation type="list" allowBlank="1" showInputMessage="1" showErrorMessage="1" sqref="D226" xr:uid="{D7ED420A-03D8-45B0-B4D7-648FD4E3C727}">
      <formula1>"(wählen),Tief,Mittel,Hoch,Sehr hoch"</formula1>
    </dataValidation>
    <dataValidation type="list" allowBlank="1" showInputMessage="1" showErrorMessage="1" sqref="E114:E121 E105:E107 E125:E149" xr:uid="{84485E40-5323-4FC5-A996-E861829919ED}">
      <formula1>"(wählen),Ja,Nein,N/A"</formula1>
    </dataValidation>
    <dataValidation type="list" allowBlank="1" showInputMessage="1" showErrorMessage="1" sqref="E168" xr:uid="{EFE61F6A-92B0-4D5E-A1AF-EB71FEB7E3F5}">
      <mc:AlternateContent xmlns:x12ac="http://schemas.microsoft.com/office/spreadsheetml/2011/1/ac" xmlns:mc="http://schemas.openxmlformats.org/markup-compatibility/2006">
        <mc:Choice Requires="x12ac">
          <x12ac:list>(wählen),Ja,"Ja, separat",Nein</x12ac:list>
        </mc:Choice>
        <mc:Fallback>
          <formula1>"(wählen),Ja,Ja, separat,Nein"</formula1>
        </mc:Fallback>
      </mc:AlternateContent>
    </dataValidation>
  </dataValidations>
  <hyperlinks>
    <hyperlink ref="H94" location="'GAIRA Comprehensive E'!Druckbereich" display="Gehe zu GAIRA" xr:uid="{82A50042-40E1-4C6B-AE8D-90A7820CC1D2}"/>
    <hyperlink ref="I172:J172" r:id="rId1" display="Benötigen Sie eine umfassendere DSFA? Holen Sie sich die kostenlose Open-Source-DSFA-Vorlage des VUD mit dem integrierten KI-Assistenten. Sie können sie herunterladen, indem Sie auf diesen Link klicken." xr:uid="{6944FEAA-1E79-4D7C-9145-88FC9B11380B}"/>
  </hyperlinks>
  <pageMargins left="0.7" right="0.7" top="0.78740157499999996" bottom="0.78740157499999996" header="0.3" footer="0.3"/>
  <pageSetup paperSize="9" scale="46" fitToHeight="0"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beginsWith" priority="40" operator="beginsWith" id="{2F6C0A67-BAE2-400B-ADF1-A07EECF08576}">
            <xm:f>LEFT(D228,LEN("Implement"))="Implement"</xm:f>
            <xm:f>"Implement"</xm:f>
            <x14:dxf>
              <fill>
                <patternFill>
                  <bgColor theme="9" tint="0.39994506668294322"/>
                </patternFill>
              </fill>
            </x14:dxf>
          </x14:cfRule>
          <x14:cfRule type="beginsWith" priority="41" operator="beginsWith" id="{46C6E62C-C828-413E-B43E-3513BDDDB6D7}">
            <xm:f>LEFT(D228,LEN("Vorder"))="Vorder"</xm:f>
            <xm:f>"Vorder"</xm:f>
            <x14:dxf>
              <font>
                <color auto="1"/>
              </font>
              <fill>
                <patternFill>
                  <bgColor rgb="FFFF7979"/>
                </patternFill>
              </fill>
            </x14:dxf>
          </x14:cfRule>
          <xm:sqref>D228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39A2AF2-7D27-4E6F-8532-A1168DC3E52B}">
          <x14:formula1>
            <xm:f>'AI Act D'!$A$8:$A$18</xm:f>
          </x14:formula1>
          <xm:sqref>E49:F49</xm:sqref>
        </x14:dataValidation>
        <x14:dataValidation type="list" allowBlank="1" showInputMessage="1" showErrorMessage="1" xr:uid="{66D38D12-AB73-4B83-91BB-502BC0273F38}">
          <x14:formula1>
            <xm:f>'AI Act D'!$A$19:$A$35</xm:f>
          </x14:formula1>
          <xm:sqref>E50:F50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2E5E58"/>
    <pageSetUpPr fitToPage="1"/>
  </sheetPr>
  <dimension ref="A1:BJ265"/>
  <sheetViews>
    <sheetView showGridLines="0" zoomScaleNormal="100" workbookViewId="0">
      <selection activeCell="D6" sqref="D6:F6"/>
    </sheetView>
  </sheetViews>
  <sheetFormatPr baseColWidth="10" defaultColWidth="11.44140625" defaultRowHeight="14.4" x14ac:dyDescent="0.3"/>
  <cols>
    <col min="1" max="1" width="8.6640625" customWidth="1"/>
    <col min="2" max="2" width="10.109375" customWidth="1"/>
    <col min="3" max="3" width="32.5546875" customWidth="1"/>
    <col min="4" max="4" width="35.5546875" customWidth="1"/>
    <col min="5" max="5" width="13" customWidth="1"/>
    <col min="6" max="6" width="31" customWidth="1"/>
    <col min="7" max="14" width="9.6640625" customWidth="1"/>
    <col min="15" max="15" width="35" customWidth="1"/>
    <col min="16" max="17" width="9.6640625" customWidth="1"/>
    <col min="18" max="18" width="6" customWidth="1"/>
    <col min="19" max="19" width="23.33203125" customWidth="1"/>
    <col min="20" max="20" width="13" customWidth="1"/>
    <col min="35" max="38" width="2.6640625" customWidth="1"/>
    <col min="39" max="62" width="3.6640625" customWidth="1"/>
  </cols>
  <sheetData>
    <row r="1" spans="1:8" ht="23.4" x14ac:dyDescent="0.45">
      <c r="A1" s="194" t="s">
        <v>740</v>
      </c>
      <c r="B1" s="194"/>
      <c r="C1" s="194"/>
      <c r="D1" s="194"/>
    </row>
    <row r="2" spans="1:8" x14ac:dyDescent="0.3">
      <c r="A2" s="195" t="s">
        <v>1387</v>
      </c>
      <c r="B2" s="195"/>
      <c r="C2" s="195"/>
      <c r="D2" s="195"/>
      <c r="E2" s="195"/>
    </row>
    <row r="3" spans="1:8" x14ac:dyDescent="0.3">
      <c r="A3" s="63"/>
      <c r="B3" s="63"/>
      <c r="C3" s="63"/>
      <c r="D3" s="63"/>
      <c r="E3" s="63"/>
    </row>
    <row r="4" spans="1:8" ht="77.400000000000006" customHeight="1" x14ac:dyDescent="0.3">
      <c r="A4" s="196" t="s">
        <v>1388</v>
      </c>
      <c r="B4" s="196"/>
      <c r="C4" s="196"/>
      <c r="D4" s="196"/>
      <c r="E4" s="196"/>
      <c r="F4" s="196"/>
    </row>
    <row r="5" spans="1:8" x14ac:dyDescent="0.3">
      <c r="A5" s="63"/>
      <c r="B5" s="63"/>
      <c r="C5" s="63"/>
      <c r="D5" s="63"/>
      <c r="E5" s="63"/>
    </row>
    <row r="6" spans="1:8" ht="14.7" customHeight="1" x14ac:dyDescent="0.3">
      <c r="A6" s="1" t="s">
        <v>1</v>
      </c>
      <c r="B6" s="2"/>
      <c r="C6" s="2"/>
      <c r="D6" s="197" t="s">
        <v>77</v>
      </c>
      <c r="E6" s="198"/>
      <c r="F6" s="198"/>
      <c r="G6" s="2"/>
      <c r="H6" s="2"/>
    </row>
    <row r="7" spans="1:8" x14ac:dyDescent="0.3">
      <c r="A7" s="2" t="s">
        <v>2</v>
      </c>
      <c r="B7" s="2"/>
      <c r="C7" s="2"/>
      <c r="D7" s="199" t="s">
        <v>49</v>
      </c>
      <c r="E7" s="200"/>
      <c r="F7" s="200"/>
      <c r="G7" s="2"/>
      <c r="H7" s="2"/>
    </row>
    <row r="8" spans="1:8" x14ac:dyDescent="0.3">
      <c r="A8" s="2" t="s">
        <v>182</v>
      </c>
      <c r="B8" s="2"/>
      <c r="C8" s="2"/>
      <c r="D8" s="199" t="s">
        <v>78</v>
      </c>
      <c r="E8" s="200"/>
      <c r="F8" s="200"/>
      <c r="G8" s="2"/>
      <c r="H8" s="2"/>
    </row>
    <row r="9" spans="1:8" x14ac:dyDescent="0.3">
      <c r="A9" s="2" t="s">
        <v>128</v>
      </c>
      <c r="B9" s="2"/>
      <c r="C9" s="2"/>
      <c r="D9" s="62" t="s">
        <v>17</v>
      </c>
      <c r="E9" s="2"/>
      <c r="F9" s="110">
        <v>45383</v>
      </c>
      <c r="G9" s="2"/>
      <c r="H9" s="2"/>
    </row>
    <row r="10" spans="1:8" x14ac:dyDescent="0.3">
      <c r="A10" s="2"/>
      <c r="B10" s="2"/>
      <c r="C10" s="2"/>
      <c r="D10" s="2"/>
      <c r="E10" s="2"/>
      <c r="F10" s="2"/>
      <c r="G10" s="2"/>
      <c r="H10" s="2"/>
    </row>
    <row r="11" spans="1:8" ht="18" x14ac:dyDescent="0.3">
      <c r="A11" s="1" t="s">
        <v>183</v>
      </c>
      <c r="B11" s="2"/>
      <c r="C11" s="2"/>
      <c r="D11" s="203" t="s">
        <v>444</v>
      </c>
      <c r="E11" s="204"/>
      <c r="F11" s="204"/>
      <c r="G11" s="2"/>
      <c r="H11" s="2"/>
    </row>
    <row r="12" spans="1:8" x14ac:dyDescent="0.3">
      <c r="A12" s="2"/>
      <c r="B12" s="2"/>
      <c r="C12" s="2"/>
      <c r="D12" s="2"/>
      <c r="E12" s="2"/>
      <c r="F12" s="2"/>
      <c r="G12" s="2"/>
      <c r="H12" s="2"/>
    </row>
    <row r="13" spans="1:8" ht="14.4" customHeight="1" x14ac:dyDescent="0.3">
      <c r="A13" s="87" t="s">
        <v>328</v>
      </c>
      <c r="B13" s="85"/>
      <c r="D13" s="189" t="s">
        <v>445</v>
      </c>
      <c r="E13" s="190"/>
      <c r="F13" s="190"/>
      <c r="G13" s="2"/>
      <c r="H13" s="2"/>
    </row>
    <row r="14" spans="1:8" ht="16.95" customHeight="1" x14ac:dyDescent="0.3">
      <c r="A14" s="87" t="s">
        <v>329</v>
      </c>
      <c r="B14" s="85"/>
      <c r="D14" s="189" t="s">
        <v>446</v>
      </c>
      <c r="E14" s="190"/>
      <c r="F14" s="190"/>
      <c r="G14" s="2"/>
      <c r="H14" s="2"/>
    </row>
    <row r="15" spans="1:8" ht="14.4" customHeight="1" x14ac:dyDescent="0.3">
      <c r="A15" s="86"/>
      <c r="B15" s="87"/>
      <c r="D15" s="84"/>
      <c r="E15" s="84"/>
      <c r="F15" s="84"/>
      <c r="G15" s="2"/>
      <c r="H15" s="2"/>
    </row>
    <row r="16" spans="1:8" x14ac:dyDescent="0.3">
      <c r="A16" s="2" t="s">
        <v>119</v>
      </c>
      <c r="B16" s="2"/>
      <c r="C16" s="2"/>
      <c r="D16" s="25" t="s">
        <v>365</v>
      </c>
      <c r="E16" s="2"/>
      <c r="F16" s="93" t="s">
        <v>366</v>
      </c>
      <c r="G16" s="2"/>
      <c r="H16" s="2"/>
    </row>
    <row r="17" spans="1:9" x14ac:dyDescent="0.3">
      <c r="A17" s="2"/>
      <c r="B17" s="2"/>
      <c r="C17" s="2"/>
      <c r="D17" s="2"/>
      <c r="E17" s="2"/>
      <c r="F17" s="2"/>
      <c r="G17" s="2"/>
      <c r="H17" s="2"/>
    </row>
    <row r="18" spans="1:9" ht="15.6" x14ac:dyDescent="0.3">
      <c r="A18" s="3" t="s">
        <v>186</v>
      </c>
      <c r="B18" s="4" t="s">
        <v>187</v>
      </c>
      <c r="C18" s="4"/>
      <c r="D18" s="2"/>
      <c r="E18" s="2"/>
      <c r="F18" s="2"/>
      <c r="G18" s="2"/>
      <c r="H18" s="5"/>
    </row>
    <row r="19" spans="1:9" x14ac:dyDescent="0.3">
      <c r="A19" s="2"/>
      <c r="B19" s="2"/>
      <c r="C19" s="2"/>
      <c r="D19" s="2"/>
      <c r="E19" s="2"/>
      <c r="F19" s="2"/>
      <c r="G19" s="2"/>
      <c r="H19" s="2"/>
    </row>
    <row r="20" spans="1:9" ht="52.95" customHeight="1" x14ac:dyDescent="0.3">
      <c r="B20" s="205" t="s">
        <v>876</v>
      </c>
      <c r="C20" s="205"/>
      <c r="D20" s="205"/>
      <c r="E20" s="205"/>
      <c r="F20" s="205"/>
      <c r="G20" s="205"/>
      <c r="H20" s="205"/>
      <c r="I20" s="109"/>
    </row>
    <row r="21" spans="1:9" x14ac:dyDescent="0.3">
      <c r="A21" s="2"/>
      <c r="B21" s="2"/>
      <c r="C21" s="2"/>
      <c r="D21" s="2"/>
      <c r="E21" s="2"/>
      <c r="F21" s="2"/>
      <c r="G21" s="2"/>
      <c r="H21" s="2"/>
    </row>
    <row r="22" spans="1:9" ht="15.6" customHeight="1" x14ac:dyDescent="0.3">
      <c r="A22" s="6" t="s">
        <v>0</v>
      </c>
      <c r="B22" s="192" t="s">
        <v>184</v>
      </c>
      <c r="C22" s="193"/>
      <c r="D22" s="189" t="s">
        <v>453</v>
      </c>
      <c r="E22" s="190"/>
      <c r="F22" s="190"/>
      <c r="G22" s="190"/>
      <c r="H22" s="191"/>
    </row>
    <row r="23" spans="1:9" ht="101.4" customHeight="1" x14ac:dyDescent="0.3">
      <c r="A23" s="6" t="s">
        <v>21</v>
      </c>
      <c r="B23" s="192" t="s">
        <v>3</v>
      </c>
      <c r="C23" s="193"/>
      <c r="D23" s="189" t="s">
        <v>458</v>
      </c>
      <c r="E23" s="190"/>
      <c r="F23" s="190"/>
      <c r="G23" s="190"/>
      <c r="H23" s="191"/>
    </row>
    <row r="24" spans="1:9" ht="30.6" customHeight="1" x14ac:dyDescent="0.3">
      <c r="A24" s="6" t="s">
        <v>22</v>
      </c>
      <c r="B24" s="192" t="s">
        <v>4</v>
      </c>
      <c r="C24" s="193"/>
      <c r="D24" s="189" t="s">
        <v>447</v>
      </c>
      <c r="E24" s="190"/>
      <c r="F24" s="190"/>
      <c r="G24" s="190"/>
      <c r="H24" s="191"/>
    </row>
    <row r="25" spans="1:9" ht="14.4" customHeight="1" x14ac:dyDescent="0.3">
      <c r="A25" s="6" t="s">
        <v>23</v>
      </c>
      <c r="B25" s="192" t="s">
        <v>777</v>
      </c>
      <c r="C25" s="193"/>
      <c r="D25" s="189" t="s">
        <v>448</v>
      </c>
      <c r="E25" s="190"/>
      <c r="F25" s="190"/>
      <c r="G25" s="190"/>
      <c r="H25" s="191"/>
    </row>
    <row r="26" spans="1:9" ht="28.2" customHeight="1" x14ac:dyDescent="0.3">
      <c r="A26" s="6" t="s">
        <v>24</v>
      </c>
      <c r="B26" s="192" t="s">
        <v>5</v>
      </c>
      <c r="C26" s="193"/>
      <c r="D26" s="189" t="s">
        <v>449</v>
      </c>
      <c r="E26" s="190"/>
      <c r="F26" s="190"/>
      <c r="G26" s="190"/>
      <c r="H26" s="191"/>
    </row>
    <row r="27" spans="1:9" ht="29.4" customHeight="1" x14ac:dyDescent="0.3">
      <c r="A27" s="6" t="s">
        <v>25</v>
      </c>
      <c r="B27" s="192" t="s">
        <v>6</v>
      </c>
      <c r="C27" s="193"/>
      <c r="D27" s="189" t="s">
        <v>450</v>
      </c>
      <c r="E27" s="190"/>
      <c r="F27" s="190"/>
      <c r="G27" s="190"/>
      <c r="H27" s="191"/>
    </row>
    <row r="28" spans="1:9" ht="14.4" customHeight="1" x14ac:dyDescent="0.3">
      <c r="A28" s="6" t="s">
        <v>26</v>
      </c>
      <c r="B28" s="192" t="s">
        <v>7</v>
      </c>
      <c r="C28" s="193"/>
      <c r="D28" s="189" t="s">
        <v>451</v>
      </c>
      <c r="E28" s="190"/>
      <c r="F28" s="190"/>
      <c r="G28" s="190"/>
      <c r="H28" s="191"/>
    </row>
    <row r="29" spans="1:9" ht="14.4" customHeight="1" x14ac:dyDescent="0.3">
      <c r="A29" s="6" t="s">
        <v>27</v>
      </c>
      <c r="B29" s="192" t="s">
        <v>758</v>
      </c>
      <c r="C29" s="193"/>
      <c r="D29" s="83" t="s">
        <v>759</v>
      </c>
      <c r="E29" s="134"/>
      <c r="F29" s="134"/>
      <c r="G29" s="134"/>
      <c r="H29" s="135"/>
    </row>
    <row r="30" spans="1:9" ht="14.4" customHeight="1" x14ac:dyDescent="0.3">
      <c r="A30" s="6" t="s">
        <v>28</v>
      </c>
      <c r="B30" s="192" t="s">
        <v>781</v>
      </c>
      <c r="C30" s="193"/>
      <c r="D30" s="189" t="s">
        <v>452</v>
      </c>
      <c r="E30" s="190"/>
      <c r="F30" s="190"/>
      <c r="G30" s="190"/>
      <c r="H30" s="191"/>
    </row>
    <row r="31" spans="1:9" ht="14.4" customHeight="1" x14ac:dyDescent="0.3">
      <c r="A31" s="6" t="s">
        <v>29</v>
      </c>
      <c r="B31" s="192" t="s">
        <v>324</v>
      </c>
      <c r="C31" s="193"/>
      <c r="D31" s="189" t="s">
        <v>734</v>
      </c>
      <c r="E31" s="190"/>
      <c r="F31" s="190"/>
      <c r="G31" s="190"/>
      <c r="H31" s="191"/>
    </row>
    <row r="32" spans="1:9" ht="14.4" customHeight="1" x14ac:dyDescent="0.3">
      <c r="A32" s="6" t="s">
        <v>62</v>
      </c>
      <c r="B32" s="192" t="s">
        <v>323</v>
      </c>
      <c r="C32" s="193"/>
      <c r="D32" s="189" t="s">
        <v>454</v>
      </c>
      <c r="E32" s="190"/>
      <c r="F32" s="190"/>
      <c r="G32" s="190"/>
      <c r="H32" s="191"/>
    </row>
    <row r="33" spans="1:9" ht="14.4" customHeight="1" x14ac:dyDescent="0.3">
      <c r="A33" s="6" t="s">
        <v>106</v>
      </c>
      <c r="B33" s="192" t="s">
        <v>761</v>
      </c>
      <c r="C33" s="193"/>
      <c r="D33" s="189" t="s">
        <v>757</v>
      </c>
      <c r="E33" s="190"/>
      <c r="F33" s="190"/>
      <c r="G33" s="190"/>
      <c r="H33" s="191"/>
    </row>
    <row r="34" spans="1:9" ht="14.4" customHeight="1" x14ac:dyDescent="0.3">
      <c r="A34" s="6" t="s">
        <v>107</v>
      </c>
      <c r="B34" s="192" t="s">
        <v>760</v>
      </c>
      <c r="C34" s="193"/>
      <c r="D34" s="189" t="s">
        <v>771</v>
      </c>
      <c r="E34" s="190"/>
      <c r="F34" s="190"/>
      <c r="G34" s="190"/>
      <c r="H34" s="191"/>
    </row>
    <row r="35" spans="1:9" ht="14.4" customHeight="1" x14ac:dyDescent="0.3">
      <c r="A35" s="6" t="s">
        <v>367</v>
      </c>
      <c r="B35" s="192" t="s">
        <v>767</v>
      </c>
      <c r="C35" s="193"/>
      <c r="D35" s="189" t="s">
        <v>770</v>
      </c>
      <c r="E35" s="190"/>
      <c r="F35" s="190"/>
      <c r="G35" s="190"/>
      <c r="H35" s="191"/>
    </row>
    <row r="36" spans="1:9" x14ac:dyDescent="0.3">
      <c r="A36" s="6" t="s">
        <v>383</v>
      </c>
      <c r="B36" s="192" t="s">
        <v>8</v>
      </c>
      <c r="C36" s="193"/>
      <c r="D36" s="189" t="s">
        <v>455</v>
      </c>
      <c r="E36" s="190"/>
      <c r="F36" s="190"/>
      <c r="G36" s="190"/>
      <c r="H36" s="191"/>
    </row>
    <row r="37" spans="1:9" x14ac:dyDescent="0.3">
      <c r="A37" s="6" t="s">
        <v>762</v>
      </c>
      <c r="B37" s="192" t="s">
        <v>9</v>
      </c>
      <c r="C37" s="193"/>
      <c r="D37" s="209" t="s">
        <v>456</v>
      </c>
      <c r="E37" s="210"/>
      <c r="F37" s="210"/>
      <c r="G37" s="210"/>
      <c r="H37" s="211"/>
    </row>
    <row r="39" spans="1:9" x14ac:dyDescent="0.3">
      <c r="A39" s="6" t="s">
        <v>763</v>
      </c>
      <c r="B39" s="195" t="s">
        <v>30</v>
      </c>
      <c r="C39" s="207"/>
      <c r="D39" s="189" t="s">
        <v>457</v>
      </c>
      <c r="E39" s="190"/>
      <c r="F39" s="190"/>
      <c r="G39" s="190"/>
      <c r="H39" s="191"/>
    </row>
    <row r="41" spans="1:9" ht="17.399999999999999" customHeight="1" x14ac:dyDescent="0.3">
      <c r="A41" s="6" t="s">
        <v>764</v>
      </c>
      <c r="B41" s="201" t="s">
        <v>389</v>
      </c>
      <c r="C41" s="201"/>
    </row>
    <row r="42" spans="1:9" x14ac:dyDescent="0.3">
      <c r="A42" s="6" t="s">
        <v>765</v>
      </c>
      <c r="B42" s="201" t="s">
        <v>872</v>
      </c>
      <c r="C42" s="201"/>
      <c r="F42" s="77"/>
      <c r="G42" s="77"/>
      <c r="H42" s="77"/>
    </row>
    <row r="43" spans="1:9" ht="15.6" customHeight="1" x14ac:dyDescent="0.3">
      <c r="B43" s="148" t="s">
        <v>871</v>
      </c>
      <c r="F43" s="77"/>
      <c r="G43" s="77"/>
      <c r="H43" s="77"/>
    </row>
    <row r="45" spans="1:9" ht="15.6" x14ac:dyDescent="0.3">
      <c r="A45" s="3" t="s">
        <v>188</v>
      </c>
      <c r="B45" s="4" t="s">
        <v>189</v>
      </c>
      <c r="C45" s="4"/>
    </row>
    <row r="47" spans="1:9" ht="41.4" customHeight="1" x14ac:dyDescent="0.3">
      <c r="B47" s="205" t="s">
        <v>436</v>
      </c>
      <c r="C47" s="205"/>
      <c r="D47" s="205"/>
      <c r="E47" s="205"/>
      <c r="F47" s="205"/>
      <c r="G47" s="205"/>
      <c r="H47" s="205"/>
      <c r="I47" s="109"/>
    </row>
    <row r="49" spans="1:9" ht="68.400000000000006" customHeight="1" x14ac:dyDescent="0.3">
      <c r="A49" s="6" t="s">
        <v>108</v>
      </c>
      <c r="B49" s="192" t="s">
        <v>110</v>
      </c>
      <c r="C49" s="193"/>
      <c r="D49" s="189" t="s">
        <v>459</v>
      </c>
      <c r="E49" s="190"/>
      <c r="F49" s="190"/>
      <c r="G49" s="190"/>
      <c r="H49" s="191"/>
    </row>
    <row r="50" spans="1:9" ht="69" customHeight="1" x14ac:dyDescent="0.3">
      <c r="A50" s="6" t="s">
        <v>109</v>
      </c>
      <c r="B50" s="192" t="s">
        <v>111</v>
      </c>
      <c r="C50" s="193"/>
      <c r="D50" s="189" t="s">
        <v>460</v>
      </c>
      <c r="E50" s="190"/>
      <c r="F50" s="190"/>
      <c r="G50" s="190"/>
      <c r="H50" s="191"/>
    </row>
    <row r="52" spans="1:9" ht="15.6" x14ac:dyDescent="0.3">
      <c r="A52" s="3" t="s">
        <v>190</v>
      </c>
      <c r="B52" s="4" t="s">
        <v>113</v>
      </c>
      <c r="C52" s="4"/>
    </row>
    <row r="54" spans="1:9" ht="85.2" customHeight="1" x14ac:dyDescent="0.3">
      <c r="B54" s="205" t="s">
        <v>437</v>
      </c>
      <c r="C54" s="205"/>
      <c r="D54" s="205"/>
      <c r="E54" s="205"/>
      <c r="F54" s="205"/>
      <c r="G54" s="205"/>
      <c r="H54" s="205"/>
      <c r="I54" s="109"/>
    </row>
    <row r="56" spans="1:9" x14ac:dyDescent="0.3">
      <c r="A56" s="12"/>
      <c r="B56" s="10" t="s">
        <v>121</v>
      </c>
      <c r="C56" s="10" t="s">
        <v>36</v>
      </c>
      <c r="D56" s="10" t="s">
        <v>40</v>
      </c>
      <c r="E56" s="61" t="s">
        <v>37</v>
      </c>
      <c r="F56" s="10" t="s">
        <v>127</v>
      </c>
      <c r="G56" s="10" t="s">
        <v>38</v>
      </c>
      <c r="H56" s="10" t="s">
        <v>39</v>
      </c>
    </row>
    <row r="57" spans="1:9" ht="27.6" x14ac:dyDescent="0.3">
      <c r="A57" s="29">
        <v>3.01</v>
      </c>
      <c r="B57" s="15" t="s">
        <v>131</v>
      </c>
      <c r="C57" s="8" t="s">
        <v>50</v>
      </c>
      <c r="D57" s="9" t="s">
        <v>461</v>
      </c>
      <c r="E57" s="57" t="s">
        <v>124</v>
      </c>
      <c r="F57" s="9" t="s">
        <v>470</v>
      </c>
      <c r="G57" s="9" t="s">
        <v>51</v>
      </c>
      <c r="H57" s="112" t="s">
        <v>341</v>
      </c>
    </row>
    <row r="58" spans="1:9" ht="41.4" x14ac:dyDescent="0.3">
      <c r="A58" s="29">
        <f>MAX($A$52:$A57)+0.01</f>
        <v>3.0199999999999996</v>
      </c>
      <c r="B58" s="15" t="s">
        <v>131</v>
      </c>
      <c r="C58" s="28" t="s">
        <v>466</v>
      </c>
      <c r="D58" s="9" t="s">
        <v>54</v>
      </c>
      <c r="E58" s="57" t="s">
        <v>124</v>
      </c>
      <c r="F58" s="9" t="s">
        <v>470</v>
      </c>
      <c r="G58" s="9" t="s">
        <v>51</v>
      </c>
      <c r="H58" s="112" t="s">
        <v>341</v>
      </c>
    </row>
    <row r="59" spans="1:9" ht="41.4" x14ac:dyDescent="0.3">
      <c r="A59" s="29">
        <f>MAX($A$52:$A58)+0.01</f>
        <v>3.0299999999999994</v>
      </c>
      <c r="B59" s="15" t="s">
        <v>16</v>
      </c>
      <c r="C59" s="8" t="s">
        <v>55</v>
      </c>
      <c r="D59" s="9" t="s">
        <v>462</v>
      </c>
      <c r="E59" s="57" t="s">
        <v>124</v>
      </c>
      <c r="F59" s="9" t="s">
        <v>470</v>
      </c>
      <c r="G59" s="9" t="s">
        <v>51</v>
      </c>
      <c r="H59" s="112" t="s">
        <v>341</v>
      </c>
    </row>
    <row r="60" spans="1:9" ht="27.6" x14ac:dyDescent="0.3">
      <c r="A60" s="29">
        <f>MAX($A$52:$A59)+0.01</f>
        <v>3.0399999999999991</v>
      </c>
      <c r="B60" s="15" t="s">
        <v>126</v>
      </c>
      <c r="C60" s="28" t="s">
        <v>75</v>
      </c>
      <c r="D60" s="27" t="s">
        <v>463</v>
      </c>
      <c r="E60" s="57" t="s">
        <v>53</v>
      </c>
      <c r="F60" s="27" t="s">
        <v>471</v>
      </c>
      <c r="G60" s="27" t="s">
        <v>51</v>
      </c>
      <c r="H60" s="113" t="s">
        <v>473</v>
      </c>
    </row>
    <row r="61" spans="1:9" ht="27.6" x14ac:dyDescent="0.3">
      <c r="A61" s="29">
        <f>MAX($A$52:$A60)+0.01</f>
        <v>3.0499999999999989</v>
      </c>
      <c r="B61" s="15" t="s">
        <v>126</v>
      </c>
      <c r="C61" s="28" t="s">
        <v>57</v>
      </c>
      <c r="D61" s="27" t="s">
        <v>464</v>
      </c>
      <c r="E61" s="57" t="s">
        <v>17</v>
      </c>
      <c r="F61" s="27" t="s">
        <v>472</v>
      </c>
      <c r="G61" s="27" t="s">
        <v>469</v>
      </c>
      <c r="H61" s="113" t="s">
        <v>473</v>
      </c>
    </row>
    <row r="62" spans="1:9" ht="41.4" x14ac:dyDescent="0.3">
      <c r="A62" s="29">
        <f>MAX($A$52:$A61)+0.01</f>
        <v>3.0599999999999987</v>
      </c>
      <c r="B62" s="15" t="s">
        <v>126</v>
      </c>
      <c r="C62" s="28" t="s">
        <v>58</v>
      </c>
      <c r="D62" s="27" t="s">
        <v>465</v>
      </c>
      <c r="E62" s="57" t="s">
        <v>17</v>
      </c>
      <c r="F62" s="27" t="s">
        <v>472</v>
      </c>
      <c r="G62" s="27" t="s">
        <v>469</v>
      </c>
      <c r="H62" s="113" t="s">
        <v>473</v>
      </c>
    </row>
    <row r="63" spans="1:9" ht="27.6" x14ac:dyDescent="0.3">
      <c r="A63" s="29">
        <f>MAX($A$52:$A62)+0.01</f>
        <v>3.0699999999999985</v>
      </c>
      <c r="B63" s="26" t="s">
        <v>131</v>
      </c>
      <c r="C63" s="28" t="s">
        <v>76</v>
      </c>
      <c r="D63" s="27" t="s">
        <v>60</v>
      </c>
      <c r="E63" s="57" t="s">
        <v>52</v>
      </c>
      <c r="F63" s="27" t="s">
        <v>59</v>
      </c>
      <c r="G63" s="27" t="s">
        <v>173</v>
      </c>
      <c r="H63" s="113" t="s">
        <v>473</v>
      </c>
    </row>
    <row r="64" spans="1:9" ht="69" x14ac:dyDescent="0.3">
      <c r="A64" s="29">
        <f>MAX($A$52:$A63)+0.01</f>
        <v>3.0799999999999983</v>
      </c>
      <c r="B64" s="26" t="s">
        <v>131</v>
      </c>
      <c r="C64" s="28" t="s">
        <v>467</v>
      </c>
      <c r="D64" s="27" t="s">
        <v>54</v>
      </c>
      <c r="E64" s="57" t="s">
        <v>53</v>
      </c>
      <c r="F64" s="27" t="s">
        <v>474</v>
      </c>
      <c r="G64" s="27" t="s">
        <v>51</v>
      </c>
      <c r="H64" s="113" t="s">
        <v>473</v>
      </c>
    </row>
    <row r="65" spans="1:8" ht="41.4" x14ac:dyDescent="0.3">
      <c r="A65" s="29">
        <f>MAX($A$52:$A64)+0.01</f>
        <v>3.0899999999999981</v>
      </c>
      <c r="B65" s="26" t="s">
        <v>13</v>
      </c>
      <c r="C65" s="28" t="s">
        <v>64</v>
      </c>
      <c r="D65" s="27" t="s">
        <v>490</v>
      </c>
      <c r="E65" s="57" t="s">
        <v>172</v>
      </c>
      <c r="F65" s="27" t="s">
        <v>468</v>
      </c>
      <c r="G65" s="27" t="s">
        <v>51</v>
      </c>
      <c r="H65" s="113" t="s">
        <v>386</v>
      </c>
    </row>
    <row r="66" spans="1:8" ht="55.2" x14ac:dyDescent="0.3">
      <c r="A66" s="29">
        <f>MAX($A$52:$A65)+0.01</f>
        <v>3.0999999999999979</v>
      </c>
      <c r="B66" s="26" t="s">
        <v>131</v>
      </c>
      <c r="C66" s="28" t="s">
        <v>489</v>
      </c>
      <c r="D66" s="27" t="s">
        <v>498</v>
      </c>
      <c r="E66" s="57" t="s">
        <v>17</v>
      </c>
      <c r="F66" s="27" t="s">
        <v>475</v>
      </c>
      <c r="G66" s="27" t="s">
        <v>476</v>
      </c>
      <c r="H66" s="113" t="s">
        <v>473</v>
      </c>
    </row>
    <row r="67" spans="1:8" ht="55.2" x14ac:dyDescent="0.3">
      <c r="A67" s="29">
        <f>MAX($A$52:$A66)+0.01</f>
        <v>3.1099999999999977</v>
      </c>
      <c r="B67" s="26" t="s">
        <v>120</v>
      </c>
      <c r="C67" s="28" t="s">
        <v>477</v>
      </c>
      <c r="D67" s="27" t="s">
        <v>488</v>
      </c>
      <c r="E67" s="57" t="s">
        <v>52</v>
      </c>
      <c r="F67" s="27" t="s">
        <v>478</v>
      </c>
      <c r="G67" s="27" t="s">
        <v>51</v>
      </c>
      <c r="H67" s="113" t="s">
        <v>487</v>
      </c>
    </row>
    <row r="68" spans="1:8" ht="27.6" x14ac:dyDescent="0.3">
      <c r="A68" s="29">
        <f>MAX($A$52:$A67)+0.01</f>
        <v>3.1199999999999974</v>
      </c>
      <c r="B68" s="26" t="s">
        <v>479</v>
      </c>
      <c r="C68" s="28" t="s">
        <v>480</v>
      </c>
      <c r="D68" s="27" t="s">
        <v>481</v>
      </c>
      <c r="E68" s="57" t="s">
        <v>52</v>
      </c>
      <c r="F68" s="27" t="s">
        <v>482</v>
      </c>
      <c r="G68" s="27" t="s">
        <v>469</v>
      </c>
      <c r="H68" s="113" t="s">
        <v>486</v>
      </c>
    </row>
    <row r="69" spans="1:8" ht="41.4" x14ac:dyDescent="0.3">
      <c r="A69" s="29">
        <f>MAX($A$52:$A68)+0.01</f>
        <v>3.1299999999999972</v>
      </c>
      <c r="B69" s="26" t="s">
        <v>16</v>
      </c>
      <c r="C69" s="28" t="s">
        <v>483</v>
      </c>
      <c r="D69" s="27" t="s">
        <v>484</v>
      </c>
      <c r="E69" s="57" t="s">
        <v>52</v>
      </c>
      <c r="F69" s="27"/>
      <c r="G69" s="27" t="s">
        <v>173</v>
      </c>
      <c r="H69" s="113" t="s">
        <v>485</v>
      </c>
    </row>
    <row r="70" spans="1:8" ht="41.4" x14ac:dyDescent="0.3">
      <c r="A70" s="29">
        <f>MAX($A$52:$A69)+0.01</f>
        <v>3.139999999999997</v>
      </c>
      <c r="B70" s="26" t="s">
        <v>16</v>
      </c>
      <c r="C70" s="28" t="s">
        <v>177</v>
      </c>
      <c r="D70" s="27" t="s">
        <v>178</v>
      </c>
      <c r="E70" s="57" t="s">
        <v>750</v>
      </c>
      <c r="F70" s="27"/>
      <c r="G70" s="27" t="s">
        <v>179</v>
      </c>
      <c r="H70" s="113" t="s">
        <v>386</v>
      </c>
    </row>
    <row r="71" spans="1:8" ht="41.4" x14ac:dyDescent="0.3">
      <c r="A71" s="29">
        <f>MAX($A$52:$A70)+0.01</f>
        <v>3.1499999999999968</v>
      </c>
      <c r="B71" s="26" t="s">
        <v>499</v>
      </c>
      <c r="C71" s="28" t="s">
        <v>492</v>
      </c>
      <c r="D71" s="27" t="s">
        <v>493</v>
      </c>
      <c r="E71" s="57" t="s">
        <v>52</v>
      </c>
      <c r="F71" s="27" t="s">
        <v>496</v>
      </c>
      <c r="G71" s="27" t="s">
        <v>179</v>
      </c>
      <c r="H71" s="113" t="s">
        <v>494</v>
      </c>
    </row>
    <row r="72" spans="1:8" ht="41.4" x14ac:dyDescent="0.3">
      <c r="A72" s="29">
        <f>MAX($A$52:$A71)+0.01</f>
        <v>3.1599999999999966</v>
      </c>
      <c r="B72" s="26" t="s">
        <v>499</v>
      </c>
      <c r="C72" s="28" t="s">
        <v>513</v>
      </c>
      <c r="D72" s="27" t="s">
        <v>491</v>
      </c>
      <c r="E72" s="57" t="s">
        <v>53</v>
      </c>
      <c r="F72" s="27" t="s">
        <v>482</v>
      </c>
      <c r="G72" s="27" t="s">
        <v>173</v>
      </c>
      <c r="H72" s="113" t="s">
        <v>495</v>
      </c>
    </row>
    <row r="73" spans="1:8" ht="27.6" x14ac:dyDescent="0.3">
      <c r="A73" s="29">
        <f>MAX($A$52:$A72)+0.01</f>
        <v>3.1699999999999964</v>
      </c>
      <c r="B73" s="26" t="s">
        <v>131</v>
      </c>
      <c r="C73" s="28" t="s">
        <v>514</v>
      </c>
      <c r="D73" s="27" t="s">
        <v>515</v>
      </c>
      <c r="E73" s="57" t="s">
        <v>750</v>
      </c>
      <c r="F73" s="27"/>
      <c r="G73" s="27" t="s">
        <v>179</v>
      </c>
      <c r="H73" s="113" t="s">
        <v>386</v>
      </c>
    </row>
    <row r="74" spans="1:8" ht="41.4" x14ac:dyDescent="0.3">
      <c r="A74" s="29">
        <f>MAX($A$52:$A73)+0.01</f>
        <v>3.1799999999999962</v>
      </c>
      <c r="B74" s="26" t="s">
        <v>131</v>
      </c>
      <c r="C74" s="28" t="s">
        <v>572</v>
      </c>
      <c r="D74" s="27" t="s">
        <v>573</v>
      </c>
      <c r="E74" s="57" t="s">
        <v>750</v>
      </c>
      <c r="F74" s="27" t="s">
        <v>574</v>
      </c>
      <c r="G74" s="27" t="s">
        <v>173</v>
      </c>
      <c r="H74" s="113" t="s">
        <v>386</v>
      </c>
    </row>
    <row r="75" spans="1:8" ht="41.4" x14ac:dyDescent="0.3">
      <c r="A75" s="29">
        <f>MAX($A$52:$A74)+0.01</f>
        <v>3.1899999999999959</v>
      </c>
      <c r="B75" s="26" t="s">
        <v>67</v>
      </c>
      <c r="C75" s="28" t="s">
        <v>596</v>
      </c>
      <c r="D75" s="27" t="s">
        <v>597</v>
      </c>
      <c r="E75" s="57" t="s">
        <v>750</v>
      </c>
      <c r="F75" s="27"/>
      <c r="G75" s="27" t="s">
        <v>51</v>
      </c>
      <c r="H75" s="113" t="s">
        <v>386</v>
      </c>
    </row>
    <row r="76" spans="1:8" x14ac:dyDescent="0.3">
      <c r="A76" s="29">
        <f>MAX($A$52:$A75)+0.01</f>
        <v>3.1999999999999957</v>
      </c>
      <c r="B76" s="26"/>
      <c r="C76" s="28"/>
      <c r="D76" s="27"/>
      <c r="E76" s="57"/>
      <c r="F76" s="27"/>
      <c r="G76" s="27"/>
      <c r="H76" s="113"/>
    </row>
    <row r="77" spans="1:8" x14ac:dyDescent="0.3">
      <c r="A77" s="29">
        <f>MAX($A$52:$A76)+0.01</f>
        <v>3.2099999999999955</v>
      </c>
      <c r="B77" s="26"/>
      <c r="C77" s="28"/>
      <c r="D77" s="27"/>
      <c r="E77" s="57"/>
      <c r="F77" s="27"/>
      <c r="G77" s="27"/>
      <c r="H77" s="113"/>
    </row>
    <row r="78" spans="1:8" x14ac:dyDescent="0.3">
      <c r="A78" s="29">
        <f>MAX($A$52:$A77)+0.01</f>
        <v>3.2199999999999953</v>
      </c>
      <c r="B78" s="26"/>
      <c r="C78" s="28"/>
      <c r="D78" s="27"/>
      <c r="E78" s="57"/>
      <c r="F78" s="27"/>
      <c r="G78" s="27"/>
      <c r="H78" s="113"/>
    </row>
    <row r="79" spans="1:8" x14ac:dyDescent="0.3">
      <c r="A79" s="29">
        <f>MAX($A$52:$A78)+0.01</f>
        <v>3.2299999999999951</v>
      </c>
      <c r="B79" s="26"/>
      <c r="C79" s="28"/>
      <c r="D79" s="27"/>
      <c r="E79" s="57"/>
      <c r="F79" s="27"/>
      <c r="G79" s="27"/>
      <c r="H79" s="113"/>
    </row>
    <row r="80" spans="1:8" x14ac:dyDescent="0.3">
      <c r="A80" s="29">
        <f>MAX($A$52:$A79)+0.01</f>
        <v>3.2399999999999949</v>
      </c>
      <c r="B80" s="26"/>
      <c r="C80" s="28"/>
      <c r="D80" s="27"/>
      <c r="E80" s="57"/>
      <c r="F80" s="27"/>
      <c r="G80" s="27"/>
      <c r="H80" s="113"/>
    </row>
    <row r="81" spans="1:62" x14ac:dyDescent="0.3">
      <c r="A81" s="29">
        <f>MAX($A$52:$A80)+0.01</f>
        <v>3.2499999999999947</v>
      </c>
      <c r="B81" s="26"/>
      <c r="C81" s="28"/>
      <c r="D81" s="27"/>
      <c r="E81" s="57"/>
      <c r="F81" s="27"/>
      <c r="G81" s="27"/>
      <c r="H81" s="113"/>
    </row>
    <row r="82" spans="1:62" x14ac:dyDescent="0.3">
      <c r="A82" s="29">
        <f>MAX($A$52:$A81)+0.01</f>
        <v>3.2599999999999945</v>
      </c>
      <c r="B82" s="26"/>
      <c r="C82" s="28"/>
      <c r="D82" s="27"/>
      <c r="E82" s="57"/>
      <c r="F82" s="27"/>
      <c r="G82" s="27"/>
      <c r="H82" s="113"/>
    </row>
    <row r="83" spans="1:62" x14ac:dyDescent="0.3">
      <c r="A83" s="29">
        <f>MAX($A$52:$A82)+0.01</f>
        <v>3.2699999999999942</v>
      </c>
      <c r="B83" s="26"/>
      <c r="C83" s="28"/>
      <c r="D83" s="27"/>
      <c r="E83" s="57"/>
      <c r="F83" s="27"/>
      <c r="G83" s="27"/>
      <c r="H83" s="113"/>
    </row>
    <row r="84" spans="1:62" x14ac:dyDescent="0.3">
      <c r="A84" s="29">
        <f>MAX($A$52:$A83)+0.01</f>
        <v>3.279999999999994</v>
      </c>
      <c r="B84" s="26"/>
      <c r="C84" s="28"/>
      <c r="D84" s="27"/>
      <c r="E84" s="57"/>
      <c r="F84" s="27"/>
      <c r="G84" s="27"/>
      <c r="H84" s="113"/>
    </row>
    <row r="85" spans="1:62" x14ac:dyDescent="0.3">
      <c r="A85" s="29">
        <f>MAX($A$52:$A84)+0.01</f>
        <v>3.2899999999999938</v>
      </c>
      <c r="B85" s="26"/>
      <c r="C85" s="28"/>
      <c r="D85" s="27"/>
      <c r="E85" s="57"/>
      <c r="F85" s="27"/>
      <c r="G85" s="27"/>
      <c r="H85" s="113"/>
    </row>
    <row r="86" spans="1:62" x14ac:dyDescent="0.3">
      <c r="A86" s="29">
        <f>MAX($A$52:$A85)+0.01</f>
        <v>3.2999999999999936</v>
      </c>
      <c r="B86" s="26"/>
      <c r="C86" s="28"/>
      <c r="D86" s="27"/>
      <c r="E86" s="57"/>
      <c r="F86" s="27"/>
      <c r="G86" s="27"/>
      <c r="H86" s="113"/>
    </row>
    <row r="87" spans="1:62" x14ac:dyDescent="0.3">
      <c r="E87" s="58" t="s">
        <v>31</v>
      </c>
    </row>
    <row r="88" spans="1:62" x14ac:dyDescent="0.3">
      <c r="B88" s="247" t="s">
        <v>1412</v>
      </c>
      <c r="C88" s="247"/>
      <c r="D88" s="59" t="s">
        <v>125</v>
      </c>
      <c r="E88" s="60" t="s">
        <v>53</v>
      </c>
    </row>
    <row r="89" spans="1:62" x14ac:dyDescent="0.3">
      <c r="B89" s="247"/>
      <c r="C89" s="247"/>
      <c r="D89" s="59"/>
      <c r="E89" s="60" t="s">
        <v>52</v>
      </c>
    </row>
    <row r="90" spans="1:62" x14ac:dyDescent="0.3">
      <c r="B90" s="247"/>
      <c r="C90" s="247"/>
      <c r="E90" s="60" t="s">
        <v>17</v>
      </c>
    </row>
    <row r="91" spans="1:62" x14ac:dyDescent="0.3">
      <c r="B91" s="247"/>
      <c r="C91" s="247"/>
      <c r="E91" s="60" t="s">
        <v>750</v>
      </c>
    </row>
    <row r="92" spans="1:62" x14ac:dyDescent="0.3">
      <c r="E92" s="60" t="s">
        <v>172</v>
      </c>
    </row>
    <row r="93" spans="1:62" x14ac:dyDescent="0.3">
      <c r="E93" s="56" t="s">
        <v>63</v>
      </c>
      <c r="AI93" s="56"/>
      <c r="AJ93" s="56"/>
      <c r="AK93" s="56"/>
      <c r="AL93" s="56"/>
      <c r="AM93" s="233" t="s">
        <v>416</v>
      </c>
      <c r="AN93" s="233"/>
      <c r="AO93" s="233"/>
      <c r="AP93" s="233"/>
      <c r="AQ93" s="233"/>
      <c r="AR93" s="233"/>
      <c r="AS93" s="233"/>
      <c r="AT93" s="233"/>
      <c r="AU93" s="233"/>
      <c r="AV93" s="233"/>
      <c r="AW93" s="233"/>
      <c r="AX93" s="233"/>
      <c r="AY93" s="233" t="s">
        <v>417</v>
      </c>
      <c r="AZ93" s="233"/>
      <c r="BA93" s="233"/>
      <c r="BB93" s="233"/>
      <c r="BC93" s="233"/>
      <c r="BD93" s="233"/>
      <c r="BE93" s="233"/>
      <c r="BF93" s="233"/>
      <c r="BG93" s="233"/>
      <c r="BH93" s="233"/>
      <c r="BI93" s="233"/>
      <c r="BJ93" s="233"/>
    </row>
    <row r="94" spans="1:62" x14ac:dyDescent="0.3">
      <c r="B94" s="39"/>
      <c r="C94" s="39"/>
      <c r="E94" s="56"/>
      <c r="I94" s="2"/>
      <c r="J94" s="78"/>
      <c r="K94" s="77"/>
      <c r="L94" s="77"/>
      <c r="M94" s="77"/>
      <c r="N94" s="77"/>
      <c r="AI94" s="232" t="s">
        <v>391</v>
      </c>
      <c r="AJ94" s="232" t="s">
        <v>392</v>
      </c>
      <c r="AK94" s="232" t="s">
        <v>391</v>
      </c>
      <c r="AL94" s="232" t="s">
        <v>392</v>
      </c>
      <c r="AM94" s="232" t="s">
        <v>16</v>
      </c>
      <c r="AN94" s="232" t="s">
        <v>392</v>
      </c>
      <c r="AO94" s="232" t="s">
        <v>67</v>
      </c>
      <c r="AP94" s="232" t="s">
        <v>392</v>
      </c>
      <c r="AQ94" s="232" t="s">
        <v>13</v>
      </c>
      <c r="AR94" s="232" t="s">
        <v>392</v>
      </c>
      <c r="AS94" s="232" t="s">
        <v>19</v>
      </c>
      <c r="AT94" s="232" t="s">
        <v>392</v>
      </c>
      <c r="AU94" s="232" t="s">
        <v>68</v>
      </c>
      <c r="AV94" s="232" t="s">
        <v>392</v>
      </c>
      <c r="AW94" s="232" t="s">
        <v>66</v>
      </c>
      <c r="AX94" s="232" t="s">
        <v>392</v>
      </c>
      <c r="AY94" s="232" t="s">
        <v>16</v>
      </c>
      <c r="AZ94" s="232" t="s">
        <v>392</v>
      </c>
      <c r="BA94" s="232" t="s">
        <v>67</v>
      </c>
      <c r="BB94" s="232" t="s">
        <v>392</v>
      </c>
      <c r="BC94" s="232" t="s">
        <v>13</v>
      </c>
      <c r="BD94" s="232" t="s">
        <v>392</v>
      </c>
      <c r="BE94" s="232" t="s">
        <v>19</v>
      </c>
      <c r="BF94" s="232" t="s">
        <v>392</v>
      </c>
      <c r="BG94" s="232" t="s">
        <v>68</v>
      </c>
      <c r="BH94" s="232" t="s">
        <v>392</v>
      </c>
      <c r="BI94" s="232" t="s">
        <v>66</v>
      </c>
      <c r="BJ94" s="232" t="s">
        <v>392</v>
      </c>
    </row>
    <row r="95" spans="1:62" ht="15.6" customHeight="1" x14ac:dyDescent="0.3">
      <c r="A95" s="3" t="s">
        <v>185</v>
      </c>
      <c r="B95" s="4" t="s">
        <v>114</v>
      </c>
      <c r="C95" s="4"/>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row>
    <row r="96" spans="1:62" ht="15.6" x14ac:dyDescent="0.3">
      <c r="A96" s="3"/>
      <c r="B96" s="4"/>
      <c r="C96" s="4"/>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row>
    <row r="97" spans="1:62" ht="186" customHeight="1" x14ac:dyDescent="0.3">
      <c r="A97" s="3"/>
      <c r="B97" s="205" t="s">
        <v>751</v>
      </c>
      <c r="C97" s="205"/>
      <c r="D97" s="205"/>
      <c r="E97" s="205"/>
      <c r="F97" s="205"/>
      <c r="G97" s="205"/>
      <c r="H97" s="205"/>
      <c r="I97" s="109"/>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row>
    <row r="98" spans="1:62" ht="15.6" x14ac:dyDescent="0.3">
      <c r="A98" s="3"/>
      <c r="B98" s="4"/>
      <c r="C98" s="4"/>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row>
    <row r="99" spans="1:62" ht="16.2" customHeight="1" x14ac:dyDescent="0.3">
      <c r="A99" s="3"/>
      <c r="B99" s="208" t="s">
        <v>161</v>
      </c>
      <c r="C99" s="208"/>
      <c r="D99" s="25" t="s">
        <v>136</v>
      </c>
      <c r="F99" s="20" t="s">
        <v>207</v>
      </c>
      <c r="G99" s="14">
        <v>3</v>
      </c>
      <c r="H99" t="s">
        <v>15</v>
      </c>
      <c r="J99" s="20" t="s">
        <v>14</v>
      </c>
      <c r="L99" s="220" t="s">
        <v>639</v>
      </c>
      <c r="M99" s="220"/>
      <c r="N99" s="220"/>
      <c r="O99" s="220"/>
      <c r="P99" s="220"/>
      <c r="Q99" s="220"/>
      <c r="R99" s="220"/>
      <c r="S99" s="220"/>
      <c r="T99" s="220"/>
      <c r="U99" s="220"/>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row>
    <row r="100" spans="1:62" ht="16.2" customHeight="1" x14ac:dyDescent="0.3">
      <c r="A100" s="2"/>
      <c r="B100" s="2"/>
      <c r="C100" s="2"/>
      <c r="W100" s="30" t="s">
        <v>80</v>
      </c>
      <c r="AF100" s="31" t="s">
        <v>83</v>
      </c>
      <c r="AG100">
        <v>5</v>
      </c>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row>
    <row r="101" spans="1:62" ht="15" customHeight="1" x14ac:dyDescent="0.3">
      <c r="B101" s="21" t="s">
        <v>121</v>
      </c>
      <c r="C101" s="237" t="s">
        <v>425</v>
      </c>
      <c r="D101" s="237" t="s">
        <v>423</v>
      </c>
      <c r="E101" s="237" t="s">
        <v>426</v>
      </c>
      <c r="F101" s="238" t="s">
        <v>424</v>
      </c>
      <c r="G101" s="239" t="s">
        <v>101</v>
      </c>
      <c r="H101" s="239"/>
      <c r="I101" s="235" t="s">
        <v>102</v>
      </c>
      <c r="J101" s="235"/>
      <c r="K101" s="236" t="s">
        <v>100</v>
      </c>
      <c r="L101" s="236"/>
      <c r="M101" s="236" t="s">
        <v>103</v>
      </c>
      <c r="N101" s="236"/>
      <c r="O101" s="238" t="s">
        <v>358</v>
      </c>
      <c r="P101" s="236" t="s">
        <v>112</v>
      </c>
      <c r="Q101" s="236"/>
      <c r="R101" s="42" t="s">
        <v>122</v>
      </c>
      <c r="S101" s="237" t="s">
        <v>359</v>
      </c>
      <c r="T101" s="237" t="s">
        <v>10</v>
      </c>
      <c r="U101" s="237" t="s">
        <v>11</v>
      </c>
      <c r="AI101" s="56"/>
      <c r="AJ101" s="56"/>
      <c r="AK101" s="56"/>
      <c r="AL101" s="56"/>
      <c r="AM101" s="56"/>
      <c r="AN101" s="56"/>
      <c r="AO101" s="56"/>
      <c r="AP101" s="56"/>
      <c r="AQ101" s="56"/>
      <c r="AR101" s="56"/>
      <c r="AS101" s="56"/>
      <c r="AT101" s="56"/>
      <c r="AU101" s="56"/>
      <c r="AV101" s="56"/>
      <c r="AW101" s="104"/>
      <c r="AX101" s="104"/>
      <c r="AY101" s="56"/>
      <c r="AZ101" s="56"/>
      <c r="BA101" s="56"/>
      <c r="BB101" s="56"/>
      <c r="BC101" s="56"/>
      <c r="BD101" s="56"/>
      <c r="BE101" s="56"/>
      <c r="BF101" s="56"/>
      <c r="BG101" s="56"/>
      <c r="BH101" s="56"/>
      <c r="BI101" s="56"/>
      <c r="BJ101" s="56"/>
    </row>
    <row r="102" spans="1:62" ht="14.7" customHeight="1" x14ac:dyDescent="0.3">
      <c r="B102" s="10"/>
      <c r="C102" s="237"/>
      <c r="D102" s="237"/>
      <c r="E102" s="237"/>
      <c r="F102" s="238"/>
      <c r="G102" s="11" t="s">
        <v>98</v>
      </c>
      <c r="H102" s="11" t="s">
        <v>99</v>
      </c>
      <c r="I102" s="11" t="s">
        <v>98</v>
      </c>
      <c r="J102" s="11" t="s">
        <v>99</v>
      </c>
      <c r="K102" s="11" t="s">
        <v>98</v>
      </c>
      <c r="L102" s="11" t="s">
        <v>99</v>
      </c>
      <c r="M102" s="11" t="s">
        <v>98</v>
      </c>
      <c r="N102" s="11" t="s">
        <v>99</v>
      </c>
      <c r="O102" s="238"/>
      <c r="P102" s="11" t="s">
        <v>105</v>
      </c>
      <c r="Q102" s="11" t="s">
        <v>99</v>
      </c>
      <c r="R102" s="11" t="s">
        <v>41</v>
      </c>
      <c r="S102" s="237"/>
      <c r="T102" s="237"/>
      <c r="U102" s="237"/>
      <c r="W102" s="246" t="s">
        <v>81</v>
      </c>
      <c r="X102" s="246"/>
      <c r="Y102" s="246"/>
      <c r="Z102" s="246"/>
      <c r="AA102" s="246"/>
      <c r="AB102" s="242" t="s">
        <v>82</v>
      </c>
      <c r="AC102" s="242"/>
      <c r="AD102" s="242"/>
      <c r="AE102" s="242"/>
      <c r="AF102" s="242"/>
      <c r="AG102" s="32" t="s">
        <v>84</v>
      </c>
      <c r="AI102" s="56"/>
      <c r="AJ102" s="56"/>
      <c r="AK102" s="56"/>
      <c r="AL102" s="56"/>
      <c r="AM102" s="56"/>
      <c r="AN102" s="56"/>
      <c r="AO102" s="56"/>
      <c r="AP102" s="56"/>
      <c r="AQ102" s="56"/>
      <c r="AR102" s="56"/>
      <c r="AS102" s="56"/>
      <c r="AT102" s="56"/>
      <c r="AU102" s="56"/>
      <c r="AV102" s="56"/>
      <c r="AW102" s="104"/>
      <c r="AX102" s="104"/>
      <c r="AY102" s="56"/>
      <c r="AZ102" s="56"/>
      <c r="BA102" s="56"/>
      <c r="BB102" s="56"/>
      <c r="BC102" s="56"/>
      <c r="BD102" s="56"/>
      <c r="BE102" s="56"/>
      <c r="BF102" s="56"/>
      <c r="BG102" s="56"/>
      <c r="BH102" s="56"/>
      <c r="BI102" s="56"/>
      <c r="BJ102" s="56"/>
    </row>
    <row r="103" spans="1:62" ht="24" customHeight="1" x14ac:dyDescent="0.3">
      <c r="A103" s="20"/>
      <c r="B103" s="243" t="s">
        <v>142</v>
      </c>
      <c r="C103" s="244"/>
      <c r="D103" s="244"/>
      <c r="E103" s="244"/>
      <c r="F103" s="244"/>
      <c r="G103" s="244"/>
      <c r="H103" s="244"/>
      <c r="I103" s="244"/>
      <c r="J103" s="244"/>
      <c r="K103" s="244"/>
      <c r="L103" s="244"/>
      <c r="M103" s="244"/>
      <c r="N103" s="244"/>
      <c r="O103" s="244"/>
      <c r="P103" s="244"/>
      <c r="Q103" s="244"/>
      <c r="R103" s="244"/>
      <c r="S103" s="244"/>
      <c r="T103" s="244"/>
      <c r="U103" s="245"/>
      <c r="W103" s="33" t="s">
        <v>86</v>
      </c>
      <c r="X103" s="33" t="s">
        <v>87</v>
      </c>
      <c r="Y103" s="33" t="s">
        <v>88</v>
      </c>
      <c r="Z103" s="33" t="s">
        <v>89</v>
      </c>
      <c r="AA103" s="33" t="s">
        <v>90</v>
      </c>
      <c r="AB103" s="34" t="s">
        <v>86</v>
      </c>
      <c r="AC103" s="34" t="s">
        <v>87</v>
      </c>
      <c r="AD103" s="34" t="s">
        <v>88</v>
      </c>
      <c r="AE103" s="34" t="s">
        <v>89</v>
      </c>
      <c r="AF103" s="34" t="s">
        <v>90</v>
      </c>
      <c r="AG103" s="35" t="s">
        <v>85</v>
      </c>
      <c r="AI103" s="56"/>
      <c r="AJ103" s="56"/>
      <c r="AK103" s="56"/>
      <c r="AL103" s="56"/>
      <c r="AM103" s="56"/>
      <c r="AN103" s="56"/>
      <c r="AO103" s="56"/>
      <c r="AP103" s="56"/>
      <c r="AQ103" s="56"/>
      <c r="AR103" s="56"/>
      <c r="AS103" s="56"/>
      <c r="AT103" s="56"/>
      <c r="AU103" s="56"/>
      <c r="AV103" s="56"/>
      <c r="AW103" s="104"/>
      <c r="AX103" s="104"/>
      <c r="AY103" s="56"/>
      <c r="AZ103" s="56"/>
      <c r="BA103" s="56"/>
      <c r="BB103" s="56"/>
      <c r="BC103" s="56"/>
      <c r="BD103" s="56"/>
      <c r="BE103" s="56"/>
      <c r="BF103" s="56"/>
      <c r="BG103" s="56"/>
      <c r="BH103" s="56"/>
      <c r="BI103" s="56"/>
      <c r="BJ103" s="56"/>
    </row>
    <row r="104" spans="1:62" ht="124.2" x14ac:dyDescent="0.3">
      <c r="A104" s="12">
        <v>4.01</v>
      </c>
      <c r="B104" s="65" t="s">
        <v>66</v>
      </c>
      <c r="C104" s="66" t="s">
        <v>640</v>
      </c>
      <c r="D104" s="44" t="s">
        <v>497</v>
      </c>
      <c r="E104" s="45" t="s">
        <v>42</v>
      </c>
      <c r="F104" s="44" t="s">
        <v>74</v>
      </c>
      <c r="G104" s="45" t="s">
        <v>94</v>
      </c>
      <c r="H104" s="46">
        <f t="shared" ref="H104:H120" si="0">IFERROR(VLOOKUP($E104,$D$199:$E$203,2,FALSE)*VLOOKUP($G104,$D$206:$E$210,2,FALSE),"")</f>
        <v>2</v>
      </c>
      <c r="I104" s="45" t="s">
        <v>95</v>
      </c>
      <c r="J104" s="46">
        <f t="shared" ref="J104:J120" si="1">IFERROR(VLOOKUP($E104,$D$199:$E$203,2,FALSE)*VLOOKUP($I104,$D$213:$E$217,2,FALSE),"")</f>
        <v>4</v>
      </c>
      <c r="K104" s="45" t="s">
        <v>91</v>
      </c>
      <c r="L104" s="46">
        <f t="shared" ref="L104:L120" si="2">IFERROR(VLOOKUP($E104,$D$199:$E$203,2,FALSE)*VLOOKUP($K104,$D$220:$E$224,2,FALSE),"")</f>
        <v>0</v>
      </c>
      <c r="M104" s="45" t="s">
        <v>91</v>
      </c>
      <c r="N104" s="46">
        <f t="shared" ref="N104:N120" si="3">IFERROR(VLOOKUP($E104,$D$199:$E$203,2,FALSE)*VLOOKUP($M104,$D$227:$E$231,2,FALSE),"")</f>
        <v>0</v>
      </c>
      <c r="O104" s="44"/>
      <c r="P104" s="45" t="s">
        <v>91</v>
      </c>
      <c r="Q104" s="50">
        <f t="shared" ref="Q104:Q120" si="4">IFERROR(VLOOKUP($E104,$D$199:$E$203,2,FALSE)*VLOOKUP($P104,$D$234:$E$238,2,FALSE),"")</f>
        <v>0</v>
      </c>
      <c r="R104" s="53" t="str">
        <f t="shared" ref="R104:R120" si="5">IF(LEFT($D$16,3)="Yes",IF(IFERROR(FIND("DP",$B104),0)&gt;0,IF(_xlfn.NUMBERVALUE($Q104)&gt;=$N$235,"High",IF(_xlfn.NUMBERVALUE($Q104)&gt;=$N$234,"Medium",IF(_xlfn.NUMBERVALUE($Q104)&gt;0,"Low",IF($P104="N/A","","make choice")))),""),"")</f>
        <v/>
      </c>
      <c r="S104" s="43"/>
      <c r="T104" s="43" t="s">
        <v>174</v>
      </c>
      <c r="U104" s="43" t="s">
        <v>476</v>
      </c>
      <c r="W104" s="37">
        <v>0</v>
      </c>
      <c r="X104" s="37">
        <v>0</v>
      </c>
      <c r="Y104" s="37">
        <v>0</v>
      </c>
      <c r="Z104" s="37">
        <v>0</v>
      </c>
      <c r="AA104" s="37">
        <v>0</v>
      </c>
      <c r="AB104" s="38">
        <v>0</v>
      </c>
      <c r="AC104" s="38">
        <v>0</v>
      </c>
      <c r="AD104" s="38">
        <v>0</v>
      </c>
      <c r="AE104" s="38">
        <v>0</v>
      </c>
      <c r="AF104" s="38">
        <v>0</v>
      </c>
      <c r="AG104" s="36">
        <f t="shared" ref="AG104:AG141" si="6">IF($AG$100=5,SUM(AB104:AF104),IF($AG$100=4,SUM(AB104:AE104),IF($AG$100=3,SUM(AB104:AD104),IF($AG$100=2,SUM(AB104:AC104),AB104))))/$AG$100</f>
        <v>0</v>
      </c>
      <c r="AI104" s="79">
        <f>IFERROR($H104,0)+IFERROR($J104,0)+IFERROR($L104,0)+IFERROR($N104,0)</f>
        <v>6</v>
      </c>
      <c r="AJ104" s="79">
        <f>IF($AI104=0,0,4*16)</f>
        <v>64</v>
      </c>
      <c r="AK104" s="79">
        <f>IFERROR($Q104*1,0)</f>
        <v>0</v>
      </c>
      <c r="AL104" s="79">
        <f>IF($AK104=0,0,16)</f>
        <v>0</v>
      </c>
      <c r="AM104" s="79">
        <f>IF(IFERROR(FIND(AM$94,$B104),0)&gt;0,_xlfn.NUMBERVALUE($H104&amp;" "),0)</f>
        <v>0</v>
      </c>
      <c r="AN104" s="79">
        <f>IF(AM104&gt;0,16,0)</f>
        <v>0</v>
      </c>
      <c r="AO104" s="79">
        <f>IF(IFERROR(FIND(AO$94,$B104),0)&gt;0,_xlfn.NUMBERVALUE($H104&amp;" "),0)</f>
        <v>0</v>
      </c>
      <c r="AP104" s="79">
        <f>IF(AO104&gt;0,16,0)</f>
        <v>0</v>
      </c>
      <c r="AQ104" s="79">
        <f>IF(IFERROR(FIND(AQ$94,$B104),0)&gt;0,_xlfn.NUMBERVALUE($H104&amp;" "),0)</f>
        <v>0</v>
      </c>
      <c r="AR104" s="79">
        <f>IF(AQ104&gt;0,16,0)</f>
        <v>0</v>
      </c>
      <c r="AS104" s="79">
        <f>IF(IFERROR(FIND(AS$94,$B104),0)&gt;0,_xlfn.NUMBERVALUE($H104&amp;" "),0)</f>
        <v>0</v>
      </c>
      <c r="AT104" s="79">
        <f>IF(AS104&gt;0,16,0)</f>
        <v>0</v>
      </c>
      <c r="AU104" s="79">
        <f>IF(IFERROR(FIND(AU$94,$B104),0)&gt;0,_xlfn.NUMBERVALUE($H104&amp;" "),0)</f>
        <v>0</v>
      </c>
      <c r="AV104" s="79">
        <f>IF(AU104&gt;0,16,0)</f>
        <v>0</v>
      </c>
      <c r="AW104" s="79">
        <f>IF(IFERROR(FIND(AW$94,$B104),0)&gt;0,_xlfn.NUMBERVALUE($H104&amp;" "),0)</f>
        <v>2</v>
      </c>
      <c r="AX104" s="79">
        <f>IF(AW104&gt;0,16,0)</f>
        <v>16</v>
      </c>
      <c r="AY104" s="79">
        <f>IF(IFERROR(FIND(AY$94,$B104),0)&gt;0,_xlfn.NUMBERVALUE($J104&amp;" "),0)</f>
        <v>0</v>
      </c>
      <c r="AZ104" s="79">
        <f>IF(AY104&gt;0,16,0)</f>
        <v>0</v>
      </c>
      <c r="BA104" s="79">
        <f>IF(IFERROR(FIND(BA$94,$B104),0)&gt;0,_xlfn.NUMBERVALUE($J104&amp;" "),0)</f>
        <v>0</v>
      </c>
      <c r="BB104" s="79">
        <f>IF(BA104&gt;0,16,0)</f>
        <v>0</v>
      </c>
      <c r="BC104" s="79">
        <f>IF(IFERROR(FIND(BC$94,$B104),0)&gt;0,_xlfn.NUMBERVALUE($J104&amp;" "),0)</f>
        <v>0</v>
      </c>
      <c r="BD104" s="79">
        <f>IF(BC104&gt;0,16,0)</f>
        <v>0</v>
      </c>
      <c r="BE104" s="79">
        <f>IF(IFERROR(FIND(BE$94,$B104),0)&gt;0,_xlfn.NUMBERVALUE($J104&amp;" "),0)</f>
        <v>0</v>
      </c>
      <c r="BF104" s="79">
        <f>IF(BE104&gt;0,16,0)</f>
        <v>0</v>
      </c>
      <c r="BG104" s="79">
        <f>IF(IFERROR(FIND(BG$94,$B104),0)&gt;0,_xlfn.NUMBERVALUE($J104&amp;" "),0)</f>
        <v>0</v>
      </c>
      <c r="BH104" s="79">
        <f>IF(BG104&gt;0,16,0)</f>
        <v>0</v>
      </c>
      <c r="BI104" s="79">
        <f>IF(IFERROR(FIND(BI$94,$B104),0)&gt;0,_xlfn.NUMBERVALUE($J104&amp;" "),0)</f>
        <v>4</v>
      </c>
      <c r="BJ104" s="79">
        <f>IF(BI104&gt;0,16,0)</f>
        <v>16</v>
      </c>
    </row>
    <row r="105" spans="1:62" ht="69" x14ac:dyDescent="0.3">
      <c r="A105" s="12">
        <f>IF(ISBLANK($C105),"",MAX($A$95:$A104)+0.01)</f>
        <v>4.0199999999999996</v>
      </c>
      <c r="B105" s="65" t="s">
        <v>120</v>
      </c>
      <c r="C105" s="66" t="s">
        <v>641</v>
      </c>
      <c r="D105" s="44" t="s">
        <v>501</v>
      </c>
      <c r="E105" s="45" t="s">
        <v>43</v>
      </c>
      <c r="F105" s="44" t="s">
        <v>502</v>
      </c>
      <c r="G105" s="45" t="s">
        <v>94</v>
      </c>
      <c r="H105" s="46">
        <f t="shared" si="0"/>
        <v>1</v>
      </c>
      <c r="I105" s="45" t="s">
        <v>95</v>
      </c>
      <c r="J105" s="46">
        <f t="shared" si="1"/>
        <v>2</v>
      </c>
      <c r="K105" s="45" t="s">
        <v>94</v>
      </c>
      <c r="L105" s="46">
        <f t="shared" si="2"/>
        <v>1</v>
      </c>
      <c r="M105" s="45" t="s">
        <v>91</v>
      </c>
      <c r="N105" s="46">
        <f t="shared" si="3"/>
        <v>0</v>
      </c>
      <c r="O105" s="44" t="s">
        <v>500</v>
      </c>
      <c r="P105" s="45" t="s">
        <v>95</v>
      </c>
      <c r="Q105" s="50">
        <f t="shared" si="4"/>
        <v>2</v>
      </c>
      <c r="R105" s="53" t="str">
        <f t="shared" si="5"/>
        <v>Low</v>
      </c>
      <c r="S105" s="43" t="s">
        <v>525</v>
      </c>
      <c r="T105" s="43" t="s">
        <v>174</v>
      </c>
      <c r="U105" s="43" t="s">
        <v>476</v>
      </c>
      <c r="W105" s="37">
        <v>0</v>
      </c>
      <c r="X105" s="37">
        <v>0</v>
      </c>
      <c r="Y105" s="37">
        <v>0</v>
      </c>
      <c r="Z105" s="37">
        <v>0</v>
      </c>
      <c r="AA105" s="37">
        <v>0</v>
      </c>
      <c r="AB105" s="38">
        <v>0</v>
      </c>
      <c r="AC105" s="38">
        <v>0</v>
      </c>
      <c r="AD105" s="38">
        <v>0</v>
      </c>
      <c r="AE105" s="38">
        <v>0</v>
      </c>
      <c r="AF105" s="38">
        <v>0</v>
      </c>
      <c r="AG105" s="36">
        <f t="shared" ref="AG105:AG120" si="7">IF($AG$100=5,SUM(AB105:AF105),IF($AG$100=4,SUM(AB105:AE105),IF($AG$100=3,SUM(AB105:AD105),IF($AG$100=2,SUM(AB105:AC105),AB105))))/$AG$100</f>
        <v>0</v>
      </c>
      <c r="AI105" s="79">
        <f>IFERROR($H105,0)+IFERROR($J105,0)+IFERROR($L105,0)+IFERROR($N105,0)</f>
        <v>4</v>
      </c>
      <c r="AJ105" s="79">
        <f>IF($AI105=0,0,4*16)</f>
        <v>64</v>
      </c>
      <c r="AK105" s="79">
        <f t="shared" ref="AK105:AK120" si="8">IFERROR($Q105*1,0)</f>
        <v>2</v>
      </c>
      <c r="AL105" s="79">
        <f t="shared" ref="AL105:AL120" si="9">IF($AK105=0,0,16)</f>
        <v>16</v>
      </c>
      <c r="AM105" s="79">
        <f t="shared" ref="AM105:AM174" si="10">IF(IFERROR(FIND(AM$94,$B105),0)&gt;0,_xlfn.NUMBERVALUE($H105&amp;" "),0)</f>
        <v>1</v>
      </c>
      <c r="AN105" s="79">
        <f t="shared" ref="AN105:AN174" si="11">IF(AM105&gt;0,16,0)</f>
        <v>16</v>
      </c>
      <c r="AO105" s="79">
        <f t="shared" ref="AO105:AQ174" si="12">IF(IFERROR(FIND(AO$94,$B105),0)&gt;0,_xlfn.NUMBERVALUE($H105&amp;" "),0)</f>
        <v>0</v>
      </c>
      <c r="AP105" s="79">
        <f t="shared" ref="AP105:AR174" si="13">IF(AO105&gt;0,16,0)</f>
        <v>0</v>
      </c>
      <c r="AQ105" s="79">
        <f t="shared" si="12"/>
        <v>0</v>
      </c>
      <c r="AR105" s="79">
        <f t="shared" si="13"/>
        <v>0</v>
      </c>
      <c r="AS105" s="79">
        <f t="shared" ref="AS105:AS174" si="14">IF(IFERROR(FIND(AS$94,$B105),0)&gt;0,_xlfn.NUMBERVALUE($H105&amp;" "),0)</f>
        <v>0</v>
      </c>
      <c r="AT105" s="79">
        <f t="shared" ref="AT105:AT174" si="15">IF(AS105&gt;0,16,0)</f>
        <v>0</v>
      </c>
      <c r="AU105" s="79">
        <f t="shared" ref="AU105:AU174" si="16">IF(IFERROR(FIND(AU$94,$B105),0)&gt;0,_xlfn.NUMBERVALUE($H105&amp;" "),0)</f>
        <v>0</v>
      </c>
      <c r="AV105" s="79">
        <f t="shared" ref="AV105:AV174" si="17">IF(AU105&gt;0,16,0)</f>
        <v>0</v>
      </c>
      <c r="AW105" s="79">
        <f t="shared" ref="AW105:AW174" si="18">IF(IFERROR(FIND(AW$94,$B105),0)&gt;0,_xlfn.NUMBERVALUE($H105&amp;" "),0)</f>
        <v>1</v>
      </c>
      <c r="AX105" s="79">
        <f t="shared" ref="AX105:AX174" si="19">IF(AW105&gt;0,16,0)</f>
        <v>16</v>
      </c>
      <c r="AY105" s="79">
        <f t="shared" ref="AY105:AY174" si="20">IF(IFERROR(FIND(AY$94,$B105),0)&gt;0,_xlfn.NUMBERVALUE($J105&amp;" "),0)</f>
        <v>2</v>
      </c>
      <c r="AZ105" s="79">
        <f t="shared" ref="AZ105:AZ174" si="21">IF(AY105&gt;0,16,0)</f>
        <v>16</v>
      </c>
      <c r="BA105" s="79">
        <f t="shared" ref="BA105:BC174" si="22">IF(IFERROR(FIND(BA$94,$B105),0)&gt;0,_xlfn.NUMBERVALUE($J105&amp;" "),0)</f>
        <v>0</v>
      </c>
      <c r="BB105" s="79">
        <f t="shared" ref="BB105:BD174" si="23">IF(BA105&gt;0,16,0)</f>
        <v>0</v>
      </c>
      <c r="BC105" s="79">
        <f t="shared" si="22"/>
        <v>0</v>
      </c>
      <c r="BD105" s="79">
        <f t="shared" si="23"/>
        <v>0</v>
      </c>
      <c r="BE105" s="79">
        <f t="shared" ref="BE105:BE174" si="24">IF(IFERROR(FIND(BE$94,$B105),0)&gt;0,_xlfn.NUMBERVALUE($J105&amp;" "),0)</f>
        <v>0</v>
      </c>
      <c r="BF105" s="79">
        <f t="shared" ref="BF105:BF174" si="25">IF(BE105&gt;0,16,0)</f>
        <v>0</v>
      </c>
      <c r="BG105" s="79">
        <f t="shared" ref="BG105:BG174" si="26">IF(IFERROR(FIND(BG$94,$B105),0)&gt;0,_xlfn.NUMBERVALUE($J105&amp;" "),0)</f>
        <v>0</v>
      </c>
      <c r="BH105" s="79">
        <f t="shared" ref="BH105:BH174" si="27">IF(BG105&gt;0,16,0)</f>
        <v>0</v>
      </c>
      <c r="BI105" s="79">
        <f t="shared" ref="BI105:BI174" si="28">IF(IFERROR(FIND(BI$94,$B105),0)&gt;0,_xlfn.NUMBERVALUE($J105&amp;" "),0)</f>
        <v>2</v>
      </c>
      <c r="BJ105" s="79">
        <f t="shared" ref="BJ105:BJ174" si="29">IF(BI105&gt;0,16,0)</f>
        <v>16</v>
      </c>
    </row>
    <row r="106" spans="1:62" ht="110.4" x14ac:dyDescent="0.3">
      <c r="A106" s="12">
        <f>IF(ISBLANK($C106),"",MAX($A$95:$A105)+0.01)</f>
        <v>4.0299999999999994</v>
      </c>
      <c r="B106" s="65" t="s">
        <v>16</v>
      </c>
      <c r="C106" s="66" t="s">
        <v>642</v>
      </c>
      <c r="D106" s="44" t="s">
        <v>505</v>
      </c>
      <c r="E106" s="45" t="s">
        <v>44</v>
      </c>
      <c r="F106" s="44" t="s">
        <v>503</v>
      </c>
      <c r="G106" s="45" t="s">
        <v>94</v>
      </c>
      <c r="H106" s="46">
        <f t="shared" si="0"/>
        <v>3</v>
      </c>
      <c r="I106" s="45" t="s">
        <v>95</v>
      </c>
      <c r="J106" s="46">
        <f t="shared" si="1"/>
        <v>6</v>
      </c>
      <c r="K106" s="45" t="s">
        <v>94</v>
      </c>
      <c r="L106" s="46">
        <f t="shared" si="2"/>
        <v>3</v>
      </c>
      <c r="M106" s="45" t="s">
        <v>91</v>
      </c>
      <c r="N106" s="46">
        <f t="shared" si="3"/>
        <v>0</v>
      </c>
      <c r="O106" s="44" t="s">
        <v>504</v>
      </c>
      <c r="P106" s="45" t="s">
        <v>95</v>
      </c>
      <c r="Q106" s="50">
        <f t="shared" si="4"/>
        <v>6</v>
      </c>
      <c r="R106" s="53" t="str">
        <f t="shared" si="5"/>
        <v>Medium</v>
      </c>
      <c r="S106" s="43" t="s">
        <v>526</v>
      </c>
      <c r="T106" s="43" t="s">
        <v>174</v>
      </c>
      <c r="U106" s="43" t="s">
        <v>476</v>
      </c>
      <c r="W106" s="37">
        <v>0</v>
      </c>
      <c r="X106" s="37">
        <v>0</v>
      </c>
      <c r="Y106" s="37">
        <v>0</v>
      </c>
      <c r="Z106" s="37">
        <v>0</v>
      </c>
      <c r="AA106" s="37">
        <v>0</v>
      </c>
      <c r="AB106" s="38">
        <v>0</v>
      </c>
      <c r="AC106" s="38">
        <v>0</v>
      </c>
      <c r="AD106" s="38">
        <v>0</v>
      </c>
      <c r="AE106" s="38">
        <v>0</v>
      </c>
      <c r="AF106" s="38">
        <v>0</v>
      </c>
      <c r="AG106" s="36">
        <f t="shared" si="7"/>
        <v>0</v>
      </c>
      <c r="AI106" s="79">
        <f>IFERROR(IFERROR($H106,0)+IFERROR($J106,0)+IFERROR($L106,0)+IFERROR($N106,0),0)</f>
        <v>12</v>
      </c>
      <c r="AJ106" s="79">
        <f t="shared" ref="AJ106:AJ120" si="30">IF($AI106=0,0,4*16)</f>
        <v>64</v>
      </c>
      <c r="AK106" s="79">
        <f t="shared" si="8"/>
        <v>6</v>
      </c>
      <c r="AL106" s="79">
        <f t="shared" si="9"/>
        <v>16</v>
      </c>
      <c r="AM106" s="79">
        <f t="shared" si="10"/>
        <v>3</v>
      </c>
      <c r="AN106" s="79">
        <f t="shared" si="11"/>
        <v>16</v>
      </c>
      <c r="AO106" s="79">
        <f t="shared" si="12"/>
        <v>0</v>
      </c>
      <c r="AP106" s="79">
        <f t="shared" si="13"/>
        <v>0</v>
      </c>
      <c r="AQ106" s="79">
        <f t="shared" si="12"/>
        <v>0</v>
      </c>
      <c r="AR106" s="79">
        <f t="shared" si="13"/>
        <v>0</v>
      </c>
      <c r="AS106" s="79">
        <f t="shared" si="14"/>
        <v>0</v>
      </c>
      <c r="AT106" s="79">
        <f t="shared" si="15"/>
        <v>0</v>
      </c>
      <c r="AU106" s="79">
        <f t="shared" si="16"/>
        <v>0</v>
      </c>
      <c r="AV106" s="79">
        <f t="shared" si="17"/>
        <v>0</v>
      </c>
      <c r="AW106" s="79">
        <f t="shared" si="18"/>
        <v>0</v>
      </c>
      <c r="AX106" s="79">
        <f t="shared" si="19"/>
        <v>0</v>
      </c>
      <c r="AY106" s="79">
        <f t="shared" si="20"/>
        <v>6</v>
      </c>
      <c r="AZ106" s="79">
        <f t="shared" si="21"/>
        <v>16</v>
      </c>
      <c r="BA106" s="79">
        <f t="shared" si="22"/>
        <v>0</v>
      </c>
      <c r="BB106" s="79">
        <f t="shared" si="23"/>
        <v>0</v>
      </c>
      <c r="BC106" s="79">
        <f t="shared" si="22"/>
        <v>0</v>
      </c>
      <c r="BD106" s="79">
        <f t="shared" si="23"/>
        <v>0</v>
      </c>
      <c r="BE106" s="79">
        <f t="shared" si="24"/>
        <v>0</v>
      </c>
      <c r="BF106" s="79">
        <f t="shared" si="25"/>
        <v>0</v>
      </c>
      <c r="BG106" s="79">
        <f t="shared" si="26"/>
        <v>0</v>
      </c>
      <c r="BH106" s="79">
        <f t="shared" si="27"/>
        <v>0</v>
      </c>
      <c r="BI106" s="79">
        <f t="shared" si="28"/>
        <v>0</v>
      </c>
      <c r="BJ106" s="79">
        <f t="shared" si="29"/>
        <v>0</v>
      </c>
    </row>
    <row r="107" spans="1:62" ht="55.2" x14ac:dyDescent="0.3">
      <c r="A107" s="12">
        <f>IF(ISBLANK($C107),"",MAX($A$95:$A105)+0.01)</f>
        <v>4.0299999999999994</v>
      </c>
      <c r="B107" s="65" t="s">
        <v>371</v>
      </c>
      <c r="C107" s="66" t="s">
        <v>143</v>
      </c>
      <c r="D107" s="44" t="s">
        <v>508</v>
      </c>
      <c r="E107" s="45" t="s">
        <v>43</v>
      </c>
      <c r="F107" s="44" t="s">
        <v>503</v>
      </c>
      <c r="G107" s="45" t="s">
        <v>94</v>
      </c>
      <c r="H107" s="46">
        <f t="shared" si="0"/>
        <v>1</v>
      </c>
      <c r="I107" s="45" t="s">
        <v>95</v>
      </c>
      <c r="J107" s="46">
        <f t="shared" si="1"/>
        <v>2</v>
      </c>
      <c r="K107" s="45"/>
      <c r="L107" s="46" t="str">
        <f t="shared" si="2"/>
        <v/>
      </c>
      <c r="M107" s="45"/>
      <c r="N107" s="46" t="str">
        <f t="shared" si="3"/>
        <v/>
      </c>
      <c r="O107" s="44" t="s">
        <v>506</v>
      </c>
      <c r="P107" s="45" t="s">
        <v>95</v>
      </c>
      <c r="Q107" s="50">
        <f t="shared" si="4"/>
        <v>2</v>
      </c>
      <c r="R107" s="53" t="str">
        <f t="shared" si="5"/>
        <v>Low</v>
      </c>
      <c r="S107" s="43" t="s">
        <v>527</v>
      </c>
      <c r="T107" s="43" t="s">
        <v>174</v>
      </c>
      <c r="U107" s="43" t="s">
        <v>476</v>
      </c>
      <c r="W107" s="37">
        <v>0</v>
      </c>
      <c r="X107" s="37">
        <v>0</v>
      </c>
      <c r="Y107" s="37">
        <v>0</v>
      </c>
      <c r="Z107" s="37">
        <v>0</v>
      </c>
      <c r="AA107" s="37">
        <v>0</v>
      </c>
      <c r="AB107" s="38">
        <v>0</v>
      </c>
      <c r="AC107" s="38">
        <v>0</v>
      </c>
      <c r="AD107" s="38">
        <v>0</v>
      </c>
      <c r="AE107" s="38">
        <v>0</v>
      </c>
      <c r="AF107" s="38">
        <v>0</v>
      </c>
      <c r="AG107" s="36">
        <f t="shared" ref="AG107:AG117" si="31">IF($AG$100=5,SUM(AB107:AF107),IF($AG$100=4,SUM(AB107:AE107),IF($AG$100=3,SUM(AB107:AD107),IF($AG$100=2,SUM(AB107:AC107),AB107))))/$AG$100</f>
        <v>0</v>
      </c>
      <c r="AI107" s="79">
        <f>IFERROR(IFERROR($H107,0)+IFERROR($J107,0)+IFERROR($L107,0)+IFERROR($N107,0),0)</f>
        <v>0</v>
      </c>
      <c r="AJ107" s="79">
        <f t="shared" si="30"/>
        <v>0</v>
      </c>
      <c r="AK107" s="79">
        <f t="shared" si="8"/>
        <v>2</v>
      </c>
      <c r="AL107" s="79">
        <f t="shared" si="9"/>
        <v>16</v>
      </c>
      <c r="AM107" s="79">
        <f t="shared" si="10"/>
        <v>1</v>
      </c>
      <c r="AN107" s="79">
        <f t="shared" si="11"/>
        <v>16</v>
      </c>
      <c r="AO107" s="79">
        <f t="shared" si="12"/>
        <v>0</v>
      </c>
      <c r="AP107" s="79">
        <f t="shared" si="13"/>
        <v>0</v>
      </c>
      <c r="AQ107" s="79">
        <f t="shared" si="12"/>
        <v>0</v>
      </c>
      <c r="AR107" s="79">
        <f t="shared" si="13"/>
        <v>0</v>
      </c>
      <c r="AS107" s="79">
        <f t="shared" si="14"/>
        <v>1</v>
      </c>
      <c r="AT107" s="79">
        <f t="shared" si="15"/>
        <v>16</v>
      </c>
      <c r="AU107" s="79">
        <f t="shared" si="16"/>
        <v>0</v>
      </c>
      <c r="AV107" s="79">
        <f t="shared" si="17"/>
        <v>0</v>
      </c>
      <c r="AW107" s="79">
        <f t="shared" si="18"/>
        <v>1</v>
      </c>
      <c r="AX107" s="79">
        <f t="shared" si="19"/>
        <v>16</v>
      </c>
      <c r="AY107" s="79">
        <f t="shared" si="20"/>
        <v>2</v>
      </c>
      <c r="AZ107" s="79">
        <f t="shared" si="21"/>
        <v>16</v>
      </c>
      <c r="BA107" s="79">
        <f t="shared" si="22"/>
        <v>0</v>
      </c>
      <c r="BB107" s="79">
        <f t="shared" si="23"/>
        <v>0</v>
      </c>
      <c r="BC107" s="79">
        <f t="shared" si="22"/>
        <v>0</v>
      </c>
      <c r="BD107" s="79">
        <f t="shared" si="23"/>
        <v>0</v>
      </c>
      <c r="BE107" s="79">
        <f t="shared" si="24"/>
        <v>2</v>
      </c>
      <c r="BF107" s="79">
        <f t="shared" si="25"/>
        <v>16</v>
      </c>
      <c r="BG107" s="79">
        <f t="shared" si="26"/>
        <v>0</v>
      </c>
      <c r="BH107" s="79">
        <f t="shared" si="27"/>
        <v>0</v>
      </c>
      <c r="BI107" s="79">
        <f t="shared" si="28"/>
        <v>2</v>
      </c>
      <c r="BJ107" s="79">
        <f t="shared" si="29"/>
        <v>16</v>
      </c>
    </row>
    <row r="108" spans="1:62" ht="55.2" x14ac:dyDescent="0.3">
      <c r="A108" s="12">
        <f>IF(ISBLANK($C108),"",MAX($A$95:$A106)+0.01)</f>
        <v>4.0399999999999991</v>
      </c>
      <c r="B108" s="65" t="s">
        <v>371</v>
      </c>
      <c r="C108" s="66" t="s">
        <v>380</v>
      </c>
      <c r="D108" s="44" t="s">
        <v>508</v>
      </c>
      <c r="E108" s="45" t="s">
        <v>43</v>
      </c>
      <c r="F108" s="44" t="s">
        <v>503</v>
      </c>
      <c r="G108" s="45" t="s">
        <v>94</v>
      </c>
      <c r="H108" s="46">
        <f t="shared" si="0"/>
        <v>1</v>
      </c>
      <c r="I108" s="45" t="s">
        <v>95</v>
      </c>
      <c r="J108" s="46">
        <f t="shared" si="1"/>
        <v>2</v>
      </c>
      <c r="K108" s="45"/>
      <c r="L108" s="46" t="str">
        <f t="shared" si="2"/>
        <v/>
      </c>
      <c r="M108" s="45"/>
      <c r="N108" s="46" t="str">
        <f t="shared" si="3"/>
        <v/>
      </c>
      <c r="O108" s="44" t="s">
        <v>506</v>
      </c>
      <c r="P108" s="45" t="s">
        <v>95</v>
      </c>
      <c r="Q108" s="50">
        <f t="shared" si="4"/>
        <v>2</v>
      </c>
      <c r="R108" s="53" t="str">
        <f t="shared" si="5"/>
        <v>Low</v>
      </c>
      <c r="S108" s="43" t="s">
        <v>527</v>
      </c>
      <c r="T108" s="43" t="s">
        <v>174</v>
      </c>
      <c r="U108" s="43" t="s">
        <v>476</v>
      </c>
      <c r="W108" s="37">
        <v>0</v>
      </c>
      <c r="X108" s="37">
        <v>0</v>
      </c>
      <c r="Y108" s="37">
        <v>0</v>
      </c>
      <c r="Z108" s="37">
        <v>0</v>
      </c>
      <c r="AA108" s="37">
        <v>0</v>
      </c>
      <c r="AB108" s="38">
        <v>0</v>
      </c>
      <c r="AC108" s="38">
        <v>0</v>
      </c>
      <c r="AD108" s="38">
        <v>0</v>
      </c>
      <c r="AE108" s="38">
        <v>0</v>
      </c>
      <c r="AF108" s="38">
        <v>0</v>
      </c>
      <c r="AG108" s="36">
        <f t="shared" si="31"/>
        <v>0</v>
      </c>
      <c r="AI108" s="79">
        <f>IFERROR(IFERROR($H108,0)+IFERROR($J108,0)+IFERROR($L108,0)+IFERROR($N108,0),0)</f>
        <v>0</v>
      </c>
      <c r="AJ108" s="79">
        <f t="shared" si="30"/>
        <v>0</v>
      </c>
      <c r="AK108" s="79">
        <f t="shared" si="8"/>
        <v>2</v>
      </c>
      <c r="AL108" s="79">
        <f t="shared" si="9"/>
        <v>16</v>
      </c>
      <c r="AM108" s="79">
        <f t="shared" si="10"/>
        <v>1</v>
      </c>
      <c r="AN108" s="79">
        <f t="shared" si="11"/>
        <v>16</v>
      </c>
      <c r="AO108" s="79">
        <f t="shared" si="12"/>
        <v>0</v>
      </c>
      <c r="AP108" s="79">
        <f t="shared" si="13"/>
        <v>0</v>
      </c>
      <c r="AQ108" s="79">
        <f t="shared" si="12"/>
        <v>0</v>
      </c>
      <c r="AR108" s="79">
        <f t="shared" si="13"/>
        <v>0</v>
      </c>
      <c r="AS108" s="79">
        <f t="shared" si="14"/>
        <v>1</v>
      </c>
      <c r="AT108" s="79">
        <f t="shared" si="15"/>
        <v>16</v>
      </c>
      <c r="AU108" s="79">
        <f t="shared" si="16"/>
        <v>0</v>
      </c>
      <c r="AV108" s="79">
        <f t="shared" si="17"/>
        <v>0</v>
      </c>
      <c r="AW108" s="79">
        <f t="shared" si="18"/>
        <v>1</v>
      </c>
      <c r="AX108" s="79">
        <f t="shared" si="19"/>
        <v>16</v>
      </c>
      <c r="AY108" s="79">
        <f t="shared" si="20"/>
        <v>2</v>
      </c>
      <c r="AZ108" s="79">
        <f t="shared" si="21"/>
        <v>16</v>
      </c>
      <c r="BA108" s="79">
        <f t="shared" si="22"/>
        <v>0</v>
      </c>
      <c r="BB108" s="79">
        <f t="shared" si="23"/>
        <v>0</v>
      </c>
      <c r="BC108" s="79">
        <f t="shared" si="22"/>
        <v>0</v>
      </c>
      <c r="BD108" s="79">
        <f t="shared" si="23"/>
        <v>0</v>
      </c>
      <c r="BE108" s="79">
        <f t="shared" si="24"/>
        <v>2</v>
      </c>
      <c r="BF108" s="79">
        <f t="shared" si="25"/>
        <v>16</v>
      </c>
      <c r="BG108" s="79">
        <f t="shared" si="26"/>
        <v>0</v>
      </c>
      <c r="BH108" s="79">
        <f t="shared" si="27"/>
        <v>0</v>
      </c>
      <c r="BI108" s="79">
        <f t="shared" si="28"/>
        <v>2</v>
      </c>
      <c r="BJ108" s="79">
        <f t="shared" si="29"/>
        <v>16</v>
      </c>
    </row>
    <row r="109" spans="1:62" ht="41.4" x14ac:dyDescent="0.3">
      <c r="A109" s="12">
        <f>IF(ISBLANK($C109),"",MAX($A$95:$A108)+0.01)</f>
        <v>4.0499999999999989</v>
      </c>
      <c r="B109" s="65" t="s">
        <v>132</v>
      </c>
      <c r="C109" s="66" t="s">
        <v>378</v>
      </c>
      <c r="D109" s="44"/>
      <c r="E109" s="45" t="s">
        <v>91</v>
      </c>
      <c r="F109" s="44"/>
      <c r="G109" s="45"/>
      <c r="H109" s="46" t="str">
        <f t="shared" si="0"/>
        <v/>
      </c>
      <c r="I109" s="45"/>
      <c r="J109" s="46" t="str">
        <f t="shared" si="1"/>
        <v/>
      </c>
      <c r="K109" s="45"/>
      <c r="L109" s="46" t="str">
        <f t="shared" si="2"/>
        <v/>
      </c>
      <c r="M109" s="45"/>
      <c r="N109" s="46" t="str">
        <f t="shared" si="3"/>
        <v/>
      </c>
      <c r="O109" s="44"/>
      <c r="P109" s="45" t="s">
        <v>91</v>
      </c>
      <c r="Q109" s="50">
        <f t="shared" si="4"/>
        <v>0</v>
      </c>
      <c r="R109" s="53" t="str">
        <f t="shared" si="5"/>
        <v/>
      </c>
      <c r="S109" s="43" t="s">
        <v>527</v>
      </c>
      <c r="T109" s="43"/>
      <c r="U109" s="43"/>
      <c r="W109" s="37">
        <v>0</v>
      </c>
      <c r="X109" s="37">
        <v>0</v>
      </c>
      <c r="Y109" s="37">
        <v>0</v>
      </c>
      <c r="Z109" s="37">
        <v>0</v>
      </c>
      <c r="AA109" s="37">
        <v>0</v>
      </c>
      <c r="AB109" s="38">
        <v>0</v>
      </c>
      <c r="AC109" s="38">
        <v>0</v>
      </c>
      <c r="AD109" s="38">
        <v>0</v>
      </c>
      <c r="AE109" s="38">
        <v>0</v>
      </c>
      <c r="AF109" s="38">
        <v>0</v>
      </c>
      <c r="AG109" s="36">
        <f t="shared" si="31"/>
        <v>0</v>
      </c>
      <c r="AI109" s="79">
        <f t="shared" ref="AI109:AI120" si="32">IFERROR(IFERROR($H109,0)+IFERROR($J109,0)+IFERROR($L109,0)+IFERROR($N109,0),0)</f>
        <v>0</v>
      </c>
      <c r="AJ109" s="79">
        <f t="shared" si="30"/>
        <v>0</v>
      </c>
      <c r="AK109" s="79">
        <f t="shared" si="8"/>
        <v>0</v>
      </c>
      <c r="AL109" s="79">
        <f t="shared" si="9"/>
        <v>0</v>
      </c>
      <c r="AM109" s="79">
        <f t="shared" si="10"/>
        <v>0</v>
      </c>
      <c r="AN109" s="79">
        <f t="shared" si="11"/>
        <v>0</v>
      </c>
      <c r="AO109" s="79">
        <f t="shared" si="12"/>
        <v>0</v>
      </c>
      <c r="AP109" s="79">
        <f t="shared" si="13"/>
        <v>0</v>
      </c>
      <c r="AQ109" s="79">
        <f t="shared" si="12"/>
        <v>0</v>
      </c>
      <c r="AR109" s="79">
        <f t="shared" si="13"/>
        <v>0</v>
      </c>
      <c r="AS109" s="79">
        <f t="shared" si="14"/>
        <v>0</v>
      </c>
      <c r="AT109" s="79">
        <f t="shared" si="15"/>
        <v>0</v>
      </c>
      <c r="AU109" s="79">
        <f t="shared" si="16"/>
        <v>0</v>
      </c>
      <c r="AV109" s="79">
        <f t="shared" si="17"/>
        <v>0</v>
      </c>
      <c r="AW109" s="79">
        <f t="shared" si="18"/>
        <v>0</v>
      </c>
      <c r="AX109" s="79">
        <f t="shared" si="19"/>
        <v>0</v>
      </c>
      <c r="AY109" s="79">
        <f t="shared" si="20"/>
        <v>0</v>
      </c>
      <c r="AZ109" s="79">
        <f t="shared" si="21"/>
        <v>0</v>
      </c>
      <c r="BA109" s="79">
        <f t="shared" si="22"/>
        <v>0</v>
      </c>
      <c r="BB109" s="79">
        <f t="shared" si="23"/>
        <v>0</v>
      </c>
      <c r="BC109" s="79">
        <f t="shared" si="22"/>
        <v>0</v>
      </c>
      <c r="BD109" s="79">
        <f t="shared" si="23"/>
        <v>0</v>
      </c>
      <c r="BE109" s="79">
        <f t="shared" si="24"/>
        <v>0</v>
      </c>
      <c r="BF109" s="79">
        <f t="shared" si="25"/>
        <v>0</v>
      </c>
      <c r="BG109" s="79">
        <f t="shared" si="26"/>
        <v>0</v>
      </c>
      <c r="BH109" s="79">
        <f t="shared" si="27"/>
        <v>0</v>
      </c>
      <c r="BI109" s="79">
        <f t="shared" si="28"/>
        <v>0</v>
      </c>
      <c r="BJ109" s="79">
        <f t="shared" si="29"/>
        <v>0</v>
      </c>
    </row>
    <row r="110" spans="1:62" ht="41.4" x14ac:dyDescent="0.3">
      <c r="A110" s="12">
        <f>IF(ISBLANK($C110),"",MAX($A$95:$A109)+0.01)</f>
        <v>4.0599999999999987</v>
      </c>
      <c r="B110" s="65" t="s">
        <v>19</v>
      </c>
      <c r="C110" s="66" t="s">
        <v>379</v>
      </c>
      <c r="D110" s="44"/>
      <c r="E110" s="45" t="s">
        <v>91</v>
      </c>
      <c r="F110" s="44"/>
      <c r="G110" s="45"/>
      <c r="H110" s="46" t="str">
        <f t="shared" si="0"/>
        <v/>
      </c>
      <c r="I110" s="45"/>
      <c r="J110" s="46" t="str">
        <f t="shared" si="1"/>
        <v/>
      </c>
      <c r="K110" s="45"/>
      <c r="L110" s="46" t="str">
        <f t="shared" si="2"/>
        <v/>
      </c>
      <c r="M110" s="45"/>
      <c r="N110" s="46" t="str">
        <f t="shared" si="3"/>
        <v/>
      </c>
      <c r="O110" s="44"/>
      <c r="P110" s="45"/>
      <c r="Q110" s="50" t="str">
        <f t="shared" si="4"/>
        <v/>
      </c>
      <c r="R110" s="53" t="str">
        <f t="shared" si="5"/>
        <v/>
      </c>
      <c r="S110" s="43"/>
      <c r="T110" s="43"/>
      <c r="U110" s="43"/>
      <c r="W110" s="37">
        <v>0</v>
      </c>
      <c r="X110" s="37">
        <v>0</v>
      </c>
      <c r="Y110" s="37">
        <v>0</v>
      </c>
      <c r="Z110" s="37">
        <v>0</v>
      </c>
      <c r="AA110" s="37">
        <v>0</v>
      </c>
      <c r="AB110" s="38">
        <v>0</v>
      </c>
      <c r="AC110" s="38">
        <v>0</v>
      </c>
      <c r="AD110" s="38">
        <v>0</v>
      </c>
      <c r="AE110" s="38">
        <v>0</v>
      </c>
      <c r="AF110" s="38">
        <v>0</v>
      </c>
      <c r="AG110" s="36">
        <f t="shared" si="31"/>
        <v>0</v>
      </c>
      <c r="AI110" s="79">
        <f t="shared" si="32"/>
        <v>0</v>
      </c>
      <c r="AJ110" s="79">
        <f t="shared" si="30"/>
        <v>0</v>
      </c>
      <c r="AK110" s="79">
        <f t="shared" si="8"/>
        <v>0</v>
      </c>
      <c r="AL110" s="79">
        <f t="shared" si="9"/>
        <v>0</v>
      </c>
      <c r="AM110" s="79">
        <f t="shared" si="10"/>
        <v>0</v>
      </c>
      <c r="AN110" s="79">
        <f t="shared" si="11"/>
        <v>0</v>
      </c>
      <c r="AO110" s="79">
        <f t="shared" si="12"/>
        <v>0</v>
      </c>
      <c r="AP110" s="79">
        <f t="shared" si="13"/>
        <v>0</v>
      </c>
      <c r="AQ110" s="79">
        <f t="shared" si="12"/>
        <v>0</v>
      </c>
      <c r="AR110" s="79">
        <f t="shared" si="13"/>
        <v>0</v>
      </c>
      <c r="AS110" s="79">
        <f t="shared" si="14"/>
        <v>0</v>
      </c>
      <c r="AT110" s="79">
        <f t="shared" si="15"/>
        <v>0</v>
      </c>
      <c r="AU110" s="79">
        <f t="shared" si="16"/>
        <v>0</v>
      </c>
      <c r="AV110" s="79">
        <f t="shared" si="17"/>
        <v>0</v>
      </c>
      <c r="AW110" s="79">
        <f t="shared" si="18"/>
        <v>0</v>
      </c>
      <c r="AX110" s="79">
        <f t="shared" si="19"/>
        <v>0</v>
      </c>
      <c r="AY110" s="79">
        <f t="shared" si="20"/>
        <v>0</v>
      </c>
      <c r="AZ110" s="79">
        <f t="shared" si="21"/>
        <v>0</v>
      </c>
      <c r="BA110" s="79">
        <f t="shared" si="22"/>
        <v>0</v>
      </c>
      <c r="BB110" s="79">
        <f t="shared" si="23"/>
        <v>0</v>
      </c>
      <c r="BC110" s="79">
        <f t="shared" si="22"/>
        <v>0</v>
      </c>
      <c r="BD110" s="79">
        <f t="shared" si="23"/>
        <v>0</v>
      </c>
      <c r="BE110" s="79">
        <f t="shared" si="24"/>
        <v>0</v>
      </c>
      <c r="BF110" s="79">
        <f t="shared" si="25"/>
        <v>0</v>
      </c>
      <c r="BG110" s="79">
        <f t="shared" si="26"/>
        <v>0</v>
      </c>
      <c r="BH110" s="79">
        <f t="shared" si="27"/>
        <v>0</v>
      </c>
      <c r="BI110" s="79">
        <f t="shared" si="28"/>
        <v>0</v>
      </c>
      <c r="BJ110" s="79">
        <f t="shared" si="29"/>
        <v>0</v>
      </c>
    </row>
    <row r="111" spans="1:62" x14ac:dyDescent="0.3">
      <c r="A111" s="12">
        <f>IF(ISBLANK($C111),"",MAX($A$95:$A110)+0.01)</f>
        <v>4.0699999999999985</v>
      </c>
      <c r="B111" s="65" t="s">
        <v>19</v>
      </c>
      <c r="C111" s="66" t="s">
        <v>141</v>
      </c>
      <c r="D111" s="44"/>
      <c r="E111" s="45" t="s">
        <v>91</v>
      </c>
      <c r="F111" s="44"/>
      <c r="G111" s="45"/>
      <c r="H111" s="46" t="str">
        <f t="shared" si="0"/>
        <v/>
      </c>
      <c r="I111" s="45"/>
      <c r="J111" s="46" t="str">
        <f t="shared" si="1"/>
        <v/>
      </c>
      <c r="K111" s="45"/>
      <c r="L111" s="46" t="str">
        <f t="shared" si="2"/>
        <v/>
      </c>
      <c r="M111" s="45"/>
      <c r="N111" s="46" t="str">
        <f t="shared" si="3"/>
        <v/>
      </c>
      <c r="O111" s="44"/>
      <c r="P111" s="45"/>
      <c r="Q111" s="50" t="str">
        <f t="shared" si="4"/>
        <v/>
      </c>
      <c r="R111" s="53" t="str">
        <f t="shared" si="5"/>
        <v/>
      </c>
      <c r="S111" s="43"/>
      <c r="T111" s="43"/>
      <c r="U111" s="43"/>
      <c r="W111" s="37">
        <v>0</v>
      </c>
      <c r="X111" s="37">
        <v>0</v>
      </c>
      <c r="Y111" s="37">
        <v>0</v>
      </c>
      <c r="Z111" s="37">
        <v>0</v>
      </c>
      <c r="AA111" s="37">
        <v>0</v>
      </c>
      <c r="AB111" s="38">
        <v>0</v>
      </c>
      <c r="AC111" s="38">
        <v>0</v>
      </c>
      <c r="AD111" s="38">
        <v>0</v>
      </c>
      <c r="AE111" s="38">
        <v>0</v>
      </c>
      <c r="AF111" s="38">
        <v>0</v>
      </c>
      <c r="AG111" s="36">
        <f t="shared" si="31"/>
        <v>0</v>
      </c>
      <c r="AI111" s="79">
        <f t="shared" si="32"/>
        <v>0</v>
      </c>
      <c r="AJ111" s="79">
        <f t="shared" si="30"/>
        <v>0</v>
      </c>
      <c r="AK111" s="79">
        <f t="shared" si="8"/>
        <v>0</v>
      </c>
      <c r="AL111" s="79">
        <f t="shared" si="9"/>
        <v>0</v>
      </c>
      <c r="AM111" s="79">
        <f t="shared" si="10"/>
        <v>0</v>
      </c>
      <c r="AN111" s="79">
        <f t="shared" si="11"/>
        <v>0</v>
      </c>
      <c r="AO111" s="79">
        <f t="shared" si="12"/>
        <v>0</v>
      </c>
      <c r="AP111" s="79">
        <f t="shared" si="13"/>
        <v>0</v>
      </c>
      <c r="AQ111" s="79">
        <f t="shared" si="12"/>
        <v>0</v>
      </c>
      <c r="AR111" s="79">
        <f t="shared" si="13"/>
        <v>0</v>
      </c>
      <c r="AS111" s="79">
        <f t="shared" si="14"/>
        <v>0</v>
      </c>
      <c r="AT111" s="79">
        <f t="shared" si="15"/>
        <v>0</v>
      </c>
      <c r="AU111" s="79">
        <f t="shared" si="16"/>
        <v>0</v>
      </c>
      <c r="AV111" s="79">
        <f t="shared" si="17"/>
        <v>0</v>
      </c>
      <c r="AW111" s="79">
        <f t="shared" si="18"/>
        <v>0</v>
      </c>
      <c r="AX111" s="79">
        <f t="shared" si="19"/>
        <v>0</v>
      </c>
      <c r="AY111" s="79">
        <f t="shared" si="20"/>
        <v>0</v>
      </c>
      <c r="AZ111" s="79">
        <f t="shared" si="21"/>
        <v>0</v>
      </c>
      <c r="BA111" s="79">
        <f t="shared" si="22"/>
        <v>0</v>
      </c>
      <c r="BB111" s="79">
        <f t="shared" si="23"/>
        <v>0</v>
      </c>
      <c r="BC111" s="79">
        <f t="shared" si="22"/>
        <v>0</v>
      </c>
      <c r="BD111" s="79">
        <f t="shared" si="23"/>
        <v>0</v>
      </c>
      <c r="BE111" s="79">
        <f t="shared" si="24"/>
        <v>0</v>
      </c>
      <c r="BF111" s="79">
        <f t="shared" si="25"/>
        <v>0</v>
      </c>
      <c r="BG111" s="79">
        <f t="shared" si="26"/>
        <v>0</v>
      </c>
      <c r="BH111" s="79">
        <f t="shared" si="27"/>
        <v>0</v>
      </c>
      <c r="BI111" s="79">
        <f t="shared" si="28"/>
        <v>0</v>
      </c>
      <c r="BJ111" s="79">
        <f t="shared" si="29"/>
        <v>0</v>
      </c>
    </row>
    <row r="112" spans="1:62" ht="82.8" x14ac:dyDescent="0.3">
      <c r="A112" s="12">
        <f>IF(ISBLANK($C112),"",MAX($A$95:$A111)+0.01)</f>
        <v>4.0799999999999983</v>
      </c>
      <c r="B112" s="65" t="s">
        <v>19</v>
      </c>
      <c r="C112" s="66" t="s">
        <v>643</v>
      </c>
      <c r="D112" s="44" t="s">
        <v>647</v>
      </c>
      <c r="E112" s="45" t="s">
        <v>44</v>
      </c>
      <c r="F112" s="44" t="s">
        <v>646</v>
      </c>
      <c r="G112" s="45" t="s">
        <v>96</v>
      </c>
      <c r="H112" s="46">
        <f t="shared" si="0"/>
        <v>9</v>
      </c>
      <c r="I112" s="45" t="s">
        <v>94</v>
      </c>
      <c r="J112" s="46">
        <f t="shared" si="1"/>
        <v>3</v>
      </c>
      <c r="K112" s="45" t="s">
        <v>94</v>
      </c>
      <c r="L112" s="46">
        <f t="shared" si="2"/>
        <v>3</v>
      </c>
      <c r="M112" s="45"/>
      <c r="N112" s="46" t="str">
        <f t="shared" si="3"/>
        <v/>
      </c>
      <c r="O112" s="44"/>
      <c r="P112" s="45"/>
      <c r="Q112" s="50" t="str">
        <f t="shared" si="4"/>
        <v/>
      </c>
      <c r="R112" s="53" t="str">
        <f t="shared" si="5"/>
        <v/>
      </c>
      <c r="S112" s="43"/>
      <c r="T112" s="43" t="s">
        <v>174</v>
      </c>
      <c r="U112" s="43" t="s">
        <v>476</v>
      </c>
      <c r="W112" s="37">
        <v>0</v>
      </c>
      <c r="X112" s="37">
        <v>0</v>
      </c>
      <c r="Y112" s="37">
        <v>0</v>
      </c>
      <c r="Z112" s="37">
        <v>0</v>
      </c>
      <c r="AA112" s="37">
        <v>0</v>
      </c>
      <c r="AB112" s="38">
        <v>0</v>
      </c>
      <c r="AC112" s="38">
        <v>0</v>
      </c>
      <c r="AD112" s="38">
        <v>0</v>
      </c>
      <c r="AE112" s="38">
        <v>0</v>
      </c>
      <c r="AF112" s="38">
        <v>0</v>
      </c>
      <c r="AG112" s="36">
        <f t="shared" ref="AG112" si="33">IF($AG$100=5,SUM(AB112:AF112),IF($AG$100=4,SUM(AB112:AE112),IF($AG$100=3,SUM(AB112:AD112),IF($AG$100=2,SUM(AB112:AC112),AB112))))/$AG$100</f>
        <v>0</v>
      </c>
      <c r="AI112" s="79">
        <f t="shared" si="32"/>
        <v>0</v>
      </c>
      <c r="AJ112" s="79">
        <f t="shared" si="30"/>
        <v>0</v>
      </c>
      <c r="AK112" s="79">
        <f t="shared" si="8"/>
        <v>0</v>
      </c>
      <c r="AL112" s="79">
        <f t="shared" si="9"/>
        <v>0</v>
      </c>
      <c r="AM112" s="79">
        <f t="shared" si="10"/>
        <v>0</v>
      </c>
      <c r="AN112" s="79">
        <f t="shared" ref="AN112" si="34">IF(AM112&gt;0,16,0)</f>
        <v>0</v>
      </c>
      <c r="AO112" s="79">
        <f t="shared" si="12"/>
        <v>0</v>
      </c>
      <c r="AP112" s="79">
        <f t="shared" ref="AP112" si="35">IF(AO112&gt;0,16,0)</f>
        <v>0</v>
      </c>
      <c r="AQ112" s="79">
        <f t="shared" si="12"/>
        <v>0</v>
      </c>
      <c r="AR112" s="79">
        <f t="shared" ref="AR112" si="36">IF(AQ112&gt;0,16,0)</f>
        <v>0</v>
      </c>
      <c r="AS112" s="79">
        <f t="shared" si="14"/>
        <v>9</v>
      </c>
      <c r="AT112" s="79">
        <f t="shared" ref="AT112" si="37">IF(AS112&gt;0,16,0)</f>
        <v>16</v>
      </c>
      <c r="AU112" s="79">
        <f t="shared" si="16"/>
        <v>0</v>
      </c>
      <c r="AV112" s="79">
        <f t="shared" ref="AV112" si="38">IF(AU112&gt;0,16,0)</f>
        <v>0</v>
      </c>
      <c r="AW112" s="79">
        <f t="shared" si="18"/>
        <v>0</v>
      </c>
      <c r="AX112" s="79">
        <f t="shared" ref="AX112" si="39">IF(AW112&gt;0,16,0)</f>
        <v>0</v>
      </c>
      <c r="AY112" s="79">
        <f t="shared" si="20"/>
        <v>0</v>
      </c>
      <c r="AZ112" s="79">
        <f t="shared" ref="AZ112" si="40">IF(AY112&gt;0,16,0)</f>
        <v>0</v>
      </c>
      <c r="BA112" s="79">
        <f t="shared" si="22"/>
        <v>0</v>
      </c>
      <c r="BB112" s="79">
        <f t="shared" ref="BB112" si="41">IF(BA112&gt;0,16,0)</f>
        <v>0</v>
      </c>
      <c r="BC112" s="79">
        <f t="shared" si="22"/>
        <v>0</v>
      </c>
      <c r="BD112" s="79">
        <f t="shared" ref="BD112" si="42">IF(BC112&gt;0,16,0)</f>
        <v>0</v>
      </c>
      <c r="BE112" s="79">
        <f t="shared" si="24"/>
        <v>3</v>
      </c>
      <c r="BF112" s="79">
        <f t="shared" ref="BF112" si="43">IF(BE112&gt;0,16,0)</f>
        <v>16</v>
      </c>
      <c r="BG112" s="79">
        <f t="shared" si="26"/>
        <v>0</v>
      </c>
      <c r="BH112" s="79">
        <f t="shared" ref="BH112" si="44">IF(BG112&gt;0,16,0)</f>
        <v>0</v>
      </c>
      <c r="BI112" s="79">
        <f t="shared" si="28"/>
        <v>0</v>
      </c>
      <c r="BJ112" s="79">
        <f t="shared" ref="BJ112" si="45">IF(BI112&gt;0,16,0)</f>
        <v>0</v>
      </c>
    </row>
    <row r="113" spans="1:62" ht="69" x14ac:dyDescent="0.3">
      <c r="A113" s="12">
        <f>IF(ISBLANK($C113),"",MAX($A$95:$A112)+0.01)</f>
        <v>4.0899999999999981</v>
      </c>
      <c r="B113" s="65" t="s">
        <v>320</v>
      </c>
      <c r="C113" s="66" t="s">
        <v>644</v>
      </c>
      <c r="D113" s="44" t="s">
        <v>507</v>
      </c>
      <c r="E113" s="45" t="s">
        <v>44</v>
      </c>
      <c r="F113" s="44" t="s">
        <v>509</v>
      </c>
      <c r="G113" s="45" t="s">
        <v>95</v>
      </c>
      <c r="H113" s="46">
        <f t="shared" si="0"/>
        <v>6</v>
      </c>
      <c r="I113" s="45" t="s">
        <v>94</v>
      </c>
      <c r="J113" s="46">
        <f t="shared" si="1"/>
        <v>3</v>
      </c>
      <c r="K113" s="45"/>
      <c r="L113" s="46" t="str">
        <f t="shared" si="2"/>
        <v/>
      </c>
      <c r="M113" s="45"/>
      <c r="N113" s="46" t="str">
        <f t="shared" si="3"/>
        <v/>
      </c>
      <c r="O113" s="44"/>
      <c r="P113" s="45"/>
      <c r="Q113" s="50" t="str">
        <f t="shared" si="4"/>
        <v/>
      </c>
      <c r="R113" s="53" t="str">
        <f t="shared" si="5"/>
        <v/>
      </c>
      <c r="S113" s="43"/>
      <c r="T113" s="43" t="s">
        <v>174</v>
      </c>
      <c r="U113" s="43" t="s">
        <v>476</v>
      </c>
      <c r="W113" s="37">
        <v>0</v>
      </c>
      <c r="X113" s="37">
        <v>0</v>
      </c>
      <c r="Y113" s="37">
        <v>0</v>
      </c>
      <c r="Z113" s="37">
        <v>0</v>
      </c>
      <c r="AA113" s="37">
        <v>0</v>
      </c>
      <c r="AB113" s="38">
        <v>0</v>
      </c>
      <c r="AC113" s="38">
        <v>0</v>
      </c>
      <c r="AD113" s="38">
        <v>0</v>
      </c>
      <c r="AE113" s="38">
        <v>0</v>
      </c>
      <c r="AF113" s="38">
        <v>0</v>
      </c>
      <c r="AG113" s="36">
        <f t="shared" si="31"/>
        <v>0</v>
      </c>
      <c r="AI113" s="79">
        <f t="shared" si="32"/>
        <v>0</v>
      </c>
      <c r="AJ113" s="79">
        <f t="shared" si="30"/>
        <v>0</v>
      </c>
      <c r="AK113" s="79">
        <f t="shared" si="8"/>
        <v>0</v>
      </c>
      <c r="AL113" s="79">
        <f t="shared" si="9"/>
        <v>0</v>
      </c>
      <c r="AM113" s="79">
        <f t="shared" si="10"/>
        <v>0</v>
      </c>
      <c r="AN113" s="79">
        <f t="shared" si="11"/>
        <v>0</v>
      </c>
      <c r="AO113" s="79">
        <f t="shared" si="12"/>
        <v>0</v>
      </c>
      <c r="AP113" s="79">
        <f t="shared" si="13"/>
        <v>0</v>
      </c>
      <c r="AQ113" s="79">
        <f t="shared" si="12"/>
        <v>0</v>
      </c>
      <c r="AR113" s="79">
        <f t="shared" si="13"/>
        <v>0</v>
      </c>
      <c r="AS113" s="79">
        <f t="shared" si="14"/>
        <v>6</v>
      </c>
      <c r="AT113" s="79">
        <f t="shared" si="15"/>
        <v>16</v>
      </c>
      <c r="AU113" s="79">
        <f t="shared" si="16"/>
        <v>6</v>
      </c>
      <c r="AV113" s="79">
        <f t="shared" si="17"/>
        <v>16</v>
      </c>
      <c r="AW113" s="79">
        <f t="shared" si="18"/>
        <v>0</v>
      </c>
      <c r="AX113" s="79">
        <f t="shared" si="19"/>
        <v>0</v>
      </c>
      <c r="AY113" s="79">
        <f t="shared" si="20"/>
        <v>0</v>
      </c>
      <c r="AZ113" s="79">
        <f t="shared" si="21"/>
        <v>0</v>
      </c>
      <c r="BA113" s="79">
        <f t="shared" si="22"/>
        <v>0</v>
      </c>
      <c r="BB113" s="79">
        <f t="shared" si="23"/>
        <v>0</v>
      </c>
      <c r="BC113" s="79">
        <f t="shared" si="22"/>
        <v>0</v>
      </c>
      <c r="BD113" s="79">
        <f t="shared" si="23"/>
        <v>0</v>
      </c>
      <c r="BE113" s="79">
        <f t="shared" si="24"/>
        <v>3</v>
      </c>
      <c r="BF113" s="79">
        <f t="shared" si="25"/>
        <v>16</v>
      </c>
      <c r="BG113" s="79">
        <f t="shared" si="26"/>
        <v>3</v>
      </c>
      <c r="BH113" s="79">
        <f t="shared" si="27"/>
        <v>16</v>
      </c>
      <c r="BI113" s="79">
        <f t="shared" si="28"/>
        <v>0</v>
      </c>
      <c r="BJ113" s="79">
        <f t="shared" si="29"/>
        <v>0</v>
      </c>
    </row>
    <row r="114" spans="1:62" ht="55.2" x14ac:dyDescent="0.3">
      <c r="A114" s="12">
        <f>IF(ISBLANK($C114),"",MAX($A$95:$A113)+0.01)</f>
        <v>4.0999999999999979</v>
      </c>
      <c r="B114" s="65" t="s">
        <v>19</v>
      </c>
      <c r="C114" s="66" t="s">
        <v>645</v>
      </c>
      <c r="D114" s="44" t="s">
        <v>648</v>
      </c>
      <c r="E114" s="45" t="s">
        <v>44</v>
      </c>
      <c r="F114" s="44" t="s">
        <v>509</v>
      </c>
      <c r="G114" s="45" t="s">
        <v>95</v>
      </c>
      <c r="H114" s="46">
        <f t="shared" si="0"/>
        <v>6</v>
      </c>
      <c r="I114" s="45" t="s">
        <v>94</v>
      </c>
      <c r="J114" s="46">
        <f t="shared" si="1"/>
        <v>3</v>
      </c>
      <c r="K114" s="45"/>
      <c r="L114" s="46" t="str">
        <f t="shared" si="2"/>
        <v/>
      </c>
      <c r="M114" s="45"/>
      <c r="N114" s="46" t="str">
        <f t="shared" si="3"/>
        <v/>
      </c>
      <c r="O114" s="44"/>
      <c r="P114" s="45"/>
      <c r="Q114" s="50" t="str">
        <f t="shared" si="4"/>
        <v/>
      </c>
      <c r="R114" s="53" t="str">
        <f t="shared" si="5"/>
        <v/>
      </c>
      <c r="S114" s="43"/>
      <c r="T114" s="43" t="s">
        <v>174</v>
      </c>
      <c r="U114" s="43" t="s">
        <v>476</v>
      </c>
      <c r="W114" s="37">
        <v>0</v>
      </c>
      <c r="X114" s="37">
        <v>0</v>
      </c>
      <c r="Y114" s="37">
        <v>0</v>
      </c>
      <c r="Z114" s="37">
        <v>0</v>
      </c>
      <c r="AA114" s="37">
        <v>0</v>
      </c>
      <c r="AB114" s="38">
        <v>0</v>
      </c>
      <c r="AC114" s="38">
        <v>0</v>
      </c>
      <c r="AD114" s="38">
        <v>0</v>
      </c>
      <c r="AE114" s="38">
        <v>0</v>
      </c>
      <c r="AF114" s="38">
        <v>0</v>
      </c>
      <c r="AG114" s="36">
        <f t="shared" ref="AG114" si="46">IF($AG$100=5,SUM(AB114:AF114),IF($AG$100=4,SUM(AB114:AE114),IF($AG$100=3,SUM(AB114:AD114),IF($AG$100=2,SUM(AB114:AC114),AB114))))/$AG$100</f>
        <v>0</v>
      </c>
      <c r="AI114" s="79">
        <f t="shared" si="32"/>
        <v>0</v>
      </c>
      <c r="AJ114" s="79">
        <f t="shared" si="30"/>
        <v>0</v>
      </c>
      <c r="AK114" s="79">
        <f t="shared" si="8"/>
        <v>0</v>
      </c>
      <c r="AL114" s="79">
        <f t="shared" si="9"/>
        <v>0</v>
      </c>
      <c r="AM114" s="79">
        <f t="shared" si="10"/>
        <v>0</v>
      </c>
      <c r="AN114" s="79">
        <f t="shared" ref="AN114" si="47">IF(AM114&gt;0,16,0)</f>
        <v>0</v>
      </c>
      <c r="AO114" s="79">
        <f t="shared" si="12"/>
        <v>0</v>
      </c>
      <c r="AP114" s="79">
        <f t="shared" ref="AP114" si="48">IF(AO114&gt;0,16,0)</f>
        <v>0</v>
      </c>
      <c r="AQ114" s="79">
        <f t="shared" si="12"/>
        <v>0</v>
      </c>
      <c r="AR114" s="79">
        <f t="shared" ref="AR114" si="49">IF(AQ114&gt;0,16,0)</f>
        <v>0</v>
      </c>
      <c r="AS114" s="79">
        <f t="shared" si="14"/>
        <v>6</v>
      </c>
      <c r="AT114" s="79">
        <f t="shared" ref="AT114" si="50">IF(AS114&gt;0,16,0)</f>
        <v>16</v>
      </c>
      <c r="AU114" s="79">
        <f t="shared" si="16"/>
        <v>0</v>
      </c>
      <c r="AV114" s="79">
        <f t="shared" ref="AV114" si="51">IF(AU114&gt;0,16,0)</f>
        <v>0</v>
      </c>
      <c r="AW114" s="79">
        <f t="shared" si="18"/>
        <v>0</v>
      </c>
      <c r="AX114" s="79">
        <f t="shared" ref="AX114" si="52">IF(AW114&gt;0,16,0)</f>
        <v>0</v>
      </c>
      <c r="AY114" s="79">
        <f t="shared" si="20"/>
        <v>0</v>
      </c>
      <c r="AZ114" s="79">
        <f t="shared" ref="AZ114" si="53">IF(AY114&gt;0,16,0)</f>
        <v>0</v>
      </c>
      <c r="BA114" s="79">
        <f t="shared" si="22"/>
        <v>0</v>
      </c>
      <c r="BB114" s="79">
        <f t="shared" ref="BB114" si="54">IF(BA114&gt;0,16,0)</f>
        <v>0</v>
      </c>
      <c r="BC114" s="79">
        <f t="shared" si="22"/>
        <v>0</v>
      </c>
      <c r="BD114" s="79">
        <f t="shared" ref="BD114" si="55">IF(BC114&gt;0,16,0)</f>
        <v>0</v>
      </c>
      <c r="BE114" s="79">
        <f t="shared" si="24"/>
        <v>3</v>
      </c>
      <c r="BF114" s="79">
        <f t="shared" ref="BF114" si="56">IF(BE114&gt;0,16,0)</f>
        <v>16</v>
      </c>
      <c r="BG114" s="79">
        <f t="shared" si="26"/>
        <v>0</v>
      </c>
      <c r="BH114" s="79">
        <f t="shared" ref="BH114" si="57">IF(BG114&gt;0,16,0)</f>
        <v>0</v>
      </c>
      <c r="BI114" s="79">
        <f t="shared" si="28"/>
        <v>0</v>
      </c>
      <c r="BJ114" s="79">
        <f t="shared" ref="BJ114" si="58">IF(BI114&gt;0,16,0)</f>
        <v>0</v>
      </c>
    </row>
    <row r="115" spans="1:62" ht="69" x14ac:dyDescent="0.3">
      <c r="A115" s="12">
        <f>IF(ISBLANK($C115),"",MAX($A$95:$A114)+0.01)</f>
        <v>4.1099999999999977</v>
      </c>
      <c r="B115" s="65" t="s">
        <v>19</v>
      </c>
      <c r="C115" s="66" t="s">
        <v>158</v>
      </c>
      <c r="D115" s="44" t="s">
        <v>510</v>
      </c>
      <c r="E115" s="45" t="s">
        <v>91</v>
      </c>
      <c r="F115" s="44"/>
      <c r="G115" s="45"/>
      <c r="H115" s="46" t="str">
        <f t="shared" si="0"/>
        <v/>
      </c>
      <c r="I115" s="45"/>
      <c r="J115" s="46" t="str">
        <f t="shared" si="1"/>
        <v/>
      </c>
      <c r="K115" s="45"/>
      <c r="L115" s="46" t="str">
        <f t="shared" si="2"/>
        <v/>
      </c>
      <c r="M115" s="45"/>
      <c r="N115" s="46" t="str">
        <f t="shared" si="3"/>
        <v/>
      </c>
      <c r="O115" s="44"/>
      <c r="P115" s="45"/>
      <c r="Q115" s="50" t="str">
        <f t="shared" si="4"/>
        <v/>
      </c>
      <c r="R115" s="53" t="str">
        <f t="shared" si="5"/>
        <v/>
      </c>
      <c r="S115" s="43"/>
      <c r="T115" s="43"/>
      <c r="U115" s="43"/>
      <c r="W115" s="37">
        <v>0</v>
      </c>
      <c r="X115" s="37">
        <v>0</v>
      </c>
      <c r="Y115" s="37">
        <v>0</v>
      </c>
      <c r="Z115" s="37">
        <v>0</v>
      </c>
      <c r="AA115" s="37">
        <v>0</v>
      </c>
      <c r="AB115" s="38">
        <v>0</v>
      </c>
      <c r="AC115" s="38">
        <v>0</v>
      </c>
      <c r="AD115" s="38">
        <v>0</v>
      </c>
      <c r="AE115" s="38">
        <v>0</v>
      </c>
      <c r="AF115" s="38">
        <v>0</v>
      </c>
      <c r="AG115" s="36">
        <f t="shared" si="31"/>
        <v>0</v>
      </c>
      <c r="AI115" s="79">
        <f t="shared" si="32"/>
        <v>0</v>
      </c>
      <c r="AJ115" s="79">
        <f t="shared" si="30"/>
        <v>0</v>
      </c>
      <c r="AK115" s="79">
        <f t="shared" si="8"/>
        <v>0</v>
      </c>
      <c r="AL115" s="79">
        <f t="shared" si="9"/>
        <v>0</v>
      </c>
      <c r="AM115" s="79">
        <f t="shared" si="10"/>
        <v>0</v>
      </c>
      <c r="AN115" s="79">
        <f t="shared" si="11"/>
        <v>0</v>
      </c>
      <c r="AO115" s="79">
        <f t="shared" si="12"/>
        <v>0</v>
      </c>
      <c r="AP115" s="79">
        <f t="shared" si="13"/>
        <v>0</v>
      </c>
      <c r="AQ115" s="79">
        <f t="shared" si="12"/>
        <v>0</v>
      </c>
      <c r="AR115" s="79">
        <f t="shared" si="13"/>
        <v>0</v>
      </c>
      <c r="AS115" s="79">
        <f t="shared" si="14"/>
        <v>0</v>
      </c>
      <c r="AT115" s="79">
        <f t="shared" si="15"/>
        <v>0</v>
      </c>
      <c r="AU115" s="79">
        <f t="shared" si="16"/>
        <v>0</v>
      </c>
      <c r="AV115" s="79">
        <f t="shared" si="17"/>
        <v>0</v>
      </c>
      <c r="AW115" s="79">
        <f t="shared" si="18"/>
        <v>0</v>
      </c>
      <c r="AX115" s="79">
        <f t="shared" si="19"/>
        <v>0</v>
      </c>
      <c r="AY115" s="79">
        <f t="shared" si="20"/>
        <v>0</v>
      </c>
      <c r="AZ115" s="79">
        <f t="shared" si="21"/>
        <v>0</v>
      </c>
      <c r="BA115" s="79">
        <f t="shared" si="22"/>
        <v>0</v>
      </c>
      <c r="BB115" s="79">
        <f t="shared" si="23"/>
        <v>0</v>
      </c>
      <c r="BC115" s="79">
        <f t="shared" si="22"/>
        <v>0</v>
      </c>
      <c r="BD115" s="79">
        <f t="shared" si="23"/>
        <v>0</v>
      </c>
      <c r="BE115" s="79">
        <f t="shared" si="24"/>
        <v>0</v>
      </c>
      <c r="BF115" s="79">
        <f t="shared" si="25"/>
        <v>0</v>
      </c>
      <c r="BG115" s="79">
        <f t="shared" si="26"/>
        <v>0</v>
      </c>
      <c r="BH115" s="79">
        <f t="shared" si="27"/>
        <v>0</v>
      </c>
      <c r="BI115" s="79">
        <f t="shared" si="28"/>
        <v>0</v>
      </c>
      <c r="BJ115" s="79">
        <f t="shared" si="29"/>
        <v>0</v>
      </c>
    </row>
    <row r="116" spans="1:62" ht="41.4" x14ac:dyDescent="0.3">
      <c r="A116" s="12">
        <f>IF(ISBLANK($C116),"",MAX($A$95:$A115)+0.01)</f>
        <v>4.1199999999999974</v>
      </c>
      <c r="B116" s="65" t="s">
        <v>19</v>
      </c>
      <c r="C116" s="66" t="s">
        <v>160</v>
      </c>
      <c r="D116" s="44" t="s">
        <v>511</v>
      </c>
      <c r="E116" s="45" t="s">
        <v>42</v>
      </c>
      <c r="F116" s="44" t="s">
        <v>509</v>
      </c>
      <c r="G116" s="45" t="s">
        <v>95</v>
      </c>
      <c r="H116" s="46">
        <f t="shared" si="0"/>
        <v>4</v>
      </c>
      <c r="I116" s="45" t="s">
        <v>94</v>
      </c>
      <c r="J116" s="46">
        <f t="shared" si="1"/>
        <v>2</v>
      </c>
      <c r="K116" s="45"/>
      <c r="L116" s="46" t="str">
        <f t="shared" si="2"/>
        <v/>
      </c>
      <c r="M116" s="45"/>
      <c r="N116" s="46" t="str">
        <f t="shared" si="3"/>
        <v/>
      </c>
      <c r="O116" s="44"/>
      <c r="P116" s="45"/>
      <c r="Q116" s="50" t="str">
        <f t="shared" si="4"/>
        <v/>
      </c>
      <c r="R116" s="53" t="str">
        <f t="shared" si="5"/>
        <v/>
      </c>
      <c r="S116" s="43"/>
      <c r="T116" s="43" t="s">
        <v>174</v>
      </c>
      <c r="U116" s="43" t="s">
        <v>476</v>
      </c>
      <c r="W116" s="37">
        <v>0</v>
      </c>
      <c r="X116" s="37">
        <v>0</v>
      </c>
      <c r="Y116" s="37">
        <v>0</v>
      </c>
      <c r="Z116" s="37">
        <v>0</v>
      </c>
      <c r="AA116" s="37">
        <v>0</v>
      </c>
      <c r="AB116" s="38">
        <v>0</v>
      </c>
      <c r="AC116" s="38">
        <v>0</v>
      </c>
      <c r="AD116" s="38">
        <v>0</v>
      </c>
      <c r="AE116" s="38">
        <v>0</v>
      </c>
      <c r="AF116" s="38">
        <v>0</v>
      </c>
      <c r="AG116" s="36">
        <f t="shared" si="31"/>
        <v>0</v>
      </c>
      <c r="AI116" s="79">
        <f t="shared" si="32"/>
        <v>0</v>
      </c>
      <c r="AJ116" s="79">
        <f t="shared" si="30"/>
        <v>0</v>
      </c>
      <c r="AK116" s="79">
        <f t="shared" si="8"/>
        <v>0</v>
      </c>
      <c r="AL116" s="79">
        <f t="shared" si="9"/>
        <v>0</v>
      </c>
      <c r="AM116" s="79">
        <f t="shared" si="10"/>
        <v>0</v>
      </c>
      <c r="AN116" s="79">
        <f t="shared" si="11"/>
        <v>0</v>
      </c>
      <c r="AO116" s="79">
        <f t="shared" si="12"/>
        <v>0</v>
      </c>
      <c r="AP116" s="79">
        <f t="shared" si="13"/>
        <v>0</v>
      </c>
      <c r="AQ116" s="79">
        <f t="shared" si="12"/>
        <v>0</v>
      </c>
      <c r="AR116" s="79">
        <f t="shared" si="13"/>
        <v>0</v>
      </c>
      <c r="AS116" s="79">
        <f t="shared" si="14"/>
        <v>4</v>
      </c>
      <c r="AT116" s="79">
        <f t="shared" si="15"/>
        <v>16</v>
      </c>
      <c r="AU116" s="79">
        <f t="shared" si="16"/>
        <v>0</v>
      </c>
      <c r="AV116" s="79">
        <f t="shared" si="17"/>
        <v>0</v>
      </c>
      <c r="AW116" s="79">
        <f t="shared" si="18"/>
        <v>0</v>
      </c>
      <c r="AX116" s="79">
        <f t="shared" si="19"/>
        <v>0</v>
      </c>
      <c r="AY116" s="79">
        <f t="shared" si="20"/>
        <v>0</v>
      </c>
      <c r="AZ116" s="79">
        <f t="shared" si="21"/>
        <v>0</v>
      </c>
      <c r="BA116" s="79">
        <f t="shared" si="22"/>
        <v>0</v>
      </c>
      <c r="BB116" s="79">
        <f t="shared" si="23"/>
        <v>0</v>
      </c>
      <c r="BC116" s="79">
        <f t="shared" si="22"/>
        <v>0</v>
      </c>
      <c r="BD116" s="79">
        <f t="shared" si="23"/>
        <v>0</v>
      </c>
      <c r="BE116" s="79">
        <f t="shared" si="24"/>
        <v>2</v>
      </c>
      <c r="BF116" s="79">
        <f t="shared" si="25"/>
        <v>16</v>
      </c>
      <c r="BG116" s="79">
        <f t="shared" si="26"/>
        <v>0</v>
      </c>
      <c r="BH116" s="79">
        <f t="shared" si="27"/>
        <v>0</v>
      </c>
      <c r="BI116" s="79">
        <f t="shared" si="28"/>
        <v>0</v>
      </c>
      <c r="BJ116" s="79">
        <f t="shared" si="29"/>
        <v>0</v>
      </c>
    </row>
    <row r="117" spans="1:62" x14ac:dyDescent="0.3">
      <c r="A117" s="12" t="str">
        <f>IF(ISBLANK($C117),"",MAX($A$95:$A116)+0.01)</f>
        <v/>
      </c>
      <c r="B117" s="51"/>
      <c r="C117" s="64"/>
      <c r="D117" s="44"/>
      <c r="E117" s="45"/>
      <c r="F117" s="44"/>
      <c r="G117" s="45"/>
      <c r="H117" s="46" t="str">
        <f t="shared" si="0"/>
        <v/>
      </c>
      <c r="I117" s="45"/>
      <c r="J117" s="46" t="str">
        <f t="shared" si="1"/>
        <v/>
      </c>
      <c r="K117" s="45"/>
      <c r="L117" s="46" t="str">
        <f t="shared" si="2"/>
        <v/>
      </c>
      <c r="M117" s="45"/>
      <c r="N117" s="46" t="str">
        <f t="shared" si="3"/>
        <v/>
      </c>
      <c r="O117" s="44"/>
      <c r="P117" s="45"/>
      <c r="Q117" s="50" t="str">
        <f t="shared" si="4"/>
        <v/>
      </c>
      <c r="R117" s="53" t="str">
        <f t="shared" si="5"/>
        <v/>
      </c>
      <c r="S117" s="43"/>
      <c r="T117" s="43"/>
      <c r="U117" s="43"/>
      <c r="W117" s="37">
        <v>0</v>
      </c>
      <c r="X117" s="37">
        <v>0</v>
      </c>
      <c r="Y117" s="37">
        <v>0</v>
      </c>
      <c r="Z117" s="37">
        <v>0</v>
      </c>
      <c r="AA117" s="37">
        <v>0</v>
      </c>
      <c r="AB117" s="38">
        <v>0</v>
      </c>
      <c r="AC117" s="38">
        <v>0</v>
      </c>
      <c r="AD117" s="38">
        <v>0</v>
      </c>
      <c r="AE117" s="38">
        <v>0</v>
      </c>
      <c r="AF117" s="38">
        <v>0</v>
      </c>
      <c r="AG117" s="36">
        <f t="shared" si="31"/>
        <v>0</v>
      </c>
      <c r="AI117" s="79">
        <f t="shared" si="32"/>
        <v>0</v>
      </c>
      <c r="AJ117" s="79">
        <f t="shared" si="30"/>
        <v>0</v>
      </c>
      <c r="AK117" s="79">
        <f t="shared" si="8"/>
        <v>0</v>
      </c>
      <c r="AL117" s="79">
        <f t="shared" si="9"/>
        <v>0</v>
      </c>
      <c r="AM117" s="79">
        <f t="shared" si="10"/>
        <v>0</v>
      </c>
      <c r="AN117" s="79">
        <f t="shared" si="11"/>
        <v>0</v>
      </c>
      <c r="AO117" s="79">
        <f t="shared" si="12"/>
        <v>0</v>
      </c>
      <c r="AP117" s="79">
        <f t="shared" si="13"/>
        <v>0</v>
      </c>
      <c r="AQ117" s="79">
        <f t="shared" si="12"/>
        <v>0</v>
      </c>
      <c r="AR117" s="79">
        <f t="shared" si="13"/>
        <v>0</v>
      </c>
      <c r="AS117" s="79">
        <f t="shared" si="14"/>
        <v>0</v>
      </c>
      <c r="AT117" s="79">
        <f t="shared" si="15"/>
        <v>0</v>
      </c>
      <c r="AU117" s="79">
        <f t="shared" si="16"/>
        <v>0</v>
      </c>
      <c r="AV117" s="79">
        <f t="shared" si="17"/>
        <v>0</v>
      </c>
      <c r="AW117" s="79">
        <f t="shared" si="18"/>
        <v>0</v>
      </c>
      <c r="AX117" s="79">
        <f t="shared" si="19"/>
        <v>0</v>
      </c>
      <c r="AY117" s="79">
        <f t="shared" si="20"/>
        <v>0</v>
      </c>
      <c r="AZ117" s="79">
        <f t="shared" si="21"/>
        <v>0</v>
      </c>
      <c r="BA117" s="79">
        <f t="shared" si="22"/>
        <v>0</v>
      </c>
      <c r="BB117" s="79">
        <f t="shared" si="23"/>
        <v>0</v>
      </c>
      <c r="BC117" s="79">
        <f t="shared" si="22"/>
        <v>0</v>
      </c>
      <c r="BD117" s="79">
        <f t="shared" si="23"/>
        <v>0</v>
      </c>
      <c r="BE117" s="79">
        <f t="shared" si="24"/>
        <v>0</v>
      </c>
      <c r="BF117" s="79">
        <f t="shared" si="25"/>
        <v>0</v>
      </c>
      <c r="BG117" s="79">
        <f t="shared" si="26"/>
        <v>0</v>
      </c>
      <c r="BH117" s="79">
        <f t="shared" si="27"/>
        <v>0</v>
      </c>
      <c r="BI117" s="79">
        <f t="shared" si="28"/>
        <v>0</v>
      </c>
      <c r="BJ117" s="79">
        <f t="shared" si="29"/>
        <v>0</v>
      </c>
    </row>
    <row r="118" spans="1:62" x14ac:dyDescent="0.3">
      <c r="A118" s="12" t="str">
        <f>IF(ISBLANK($C118),"",MAX($A$95:$A117)+0.01)</f>
        <v/>
      </c>
      <c r="B118" s="51"/>
      <c r="C118" s="64"/>
      <c r="D118" s="44"/>
      <c r="E118" s="45"/>
      <c r="F118" s="44"/>
      <c r="G118" s="45"/>
      <c r="H118" s="46" t="str">
        <f t="shared" si="0"/>
        <v/>
      </c>
      <c r="I118" s="45"/>
      <c r="J118" s="46" t="str">
        <f t="shared" si="1"/>
        <v/>
      </c>
      <c r="K118" s="45"/>
      <c r="L118" s="46" t="str">
        <f t="shared" si="2"/>
        <v/>
      </c>
      <c r="M118" s="45"/>
      <c r="N118" s="46" t="str">
        <f t="shared" si="3"/>
        <v/>
      </c>
      <c r="O118" s="44"/>
      <c r="P118" s="45"/>
      <c r="Q118" s="50" t="str">
        <f t="shared" si="4"/>
        <v/>
      </c>
      <c r="R118" s="53" t="str">
        <f t="shared" si="5"/>
        <v/>
      </c>
      <c r="S118" s="43"/>
      <c r="T118" s="43"/>
      <c r="U118" s="43"/>
      <c r="W118" s="37">
        <v>0</v>
      </c>
      <c r="X118" s="37">
        <v>0</v>
      </c>
      <c r="Y118" s="37">
        <v>0</v>
      </c>
      <c r="Z118" s="37">
        <v>0</v>
      </c>
      <c r="AA118" s="37">
        <v>0</v>
      </c>
      <c r="AB118" s="38">
        <v>0</v>
      </c>
      <c r="AC118" s="38">
        <v>0</v>
      </c>
      <c r="AD118" s="38">
        <v>0</v>
      </c>
      <c r="AE118" s="38">
        <v>0</v>
      </c>
      <c r="AF118" s="38">
        <v>0</v>
      </c>
      <c r="AG118" s="36">
        <f t="shared" si="7"/>
        <v>0</v>
      </c>
      <c r="AI118" s="79">
        <f t="shared" si="32"/>
        <v>0</v>
      </c>
      <c r="AJ118" s="79">
        <f t="shared" si="30"/>
        <v>0</v>
      </c>
      <c r="AK118" s="79">
        <f t="shared" si="8"/>
        <v>0</v>
      </c>
      <c r="AL118" s="79">
        <f t="shared" si="9"/>
        <v>0</v>
      </c>
      <c r="AM118" s="79">
        <f t="shared" si="10"/>
        <v>0</v>
      </c>
      <c r="AN118" s="79">
        <f t="shared" si="11"/>
        <v>0</v>
      </c>
      <c r="AO118" s="79">
        <f t="shared" si="12"/>
        <v>0</v>
      </c>
      <c r="AP118" s="79">
        <f t="shared" si="13"/>
        <v>0</v>
      </c>
      <c r="AQ118" s="79">
        <f t="shared" si="12"/>
        <v>0</v>
      </c>
      <c r="AR118" s="79">
        <f t="shared" si="13"/>
        <v>0</v>
      </c>
      <c r="AS118" s="79">
        <f t="shared" si="14"/>
        <v>0</v>
      </c>
      <c r="AT118" s="79">
        <f t="shared" si="15"/>
        <v>0</v>
      </c>
      <c r="AU118" s="79">
        <f t="shared" si="16"/>
        <v>0</v>
      </c>
      <c r="AV118" s="79">
        <f t="shared" si="17"/>
        <v>0</v>
      </c>
      <c r="AW118" s="79">
        <f t="shared" si="18"/>
        <v>0</v>
      </c>
      <c r="AX118" s="79">
        <f t="shared" si="19"/>
        <v>0</v>
      </c>
      <c r="AY118" s="79">
        <f t="shared" si="20"/>
        <v>0</v>
      </c>
      <c r="AZ118" s="79">
        <f t="shared" si="21"/>
        <v>0</v>
      </c>
      <c r="BA118" s="79">
        <f t="shared" si="22"/>
        <v>0</v>
      </c>
      <c r="BB118" s="79">
        <f t="shared" si="23"/>
        <v>0</v>
      </c>
      <c r="BC118" s="79">
        <f t="shared" si="22"/>
        <v>0</v>
      </c>
      <c r="BD118" s="79">
        <f t="shared" si="23"/>
        <v>0</v>
      </c>
      <c r="BE118" s="79">
        <f t="shared" si="24"/>
        <v>0</v>
      </c>
      <c r="BF118" s="79">
        <f t="shared" si="25"/>
        <v>0</v>
      </c>
      <c r="BG118" s="79">
        <f t="shared" si="26"/>
        <v>0</v>
      </c>
      <c r="BH118" s="79">
        <f t="shared" si="27"/>
        <v>0</v>
      </c>
      <c r="BI118" s="79">
        <f t="shared" si="28"/>
        <v>0</v>
      </c>
      <c r="BJ118" s="79">
        <f t="shared" si="29"/>
        <v>0</v>
      </c>
    </row>
    <row r="119" spans="1:62" x14ac:dyDescent="0.3">
      <c r="A119" s="12" t="str">
        <f>IF(ISBLANK($C119),"",MAX($A$95:$A118)+0.01)</f>
        <v/>
      </c>
      <c r="B119" s="51"/>
      <c r="C119" s="64"/>
      <c r="D119" s="44"/>
      <c r="E119" s="45"/>
      <c r="F119" s="44"/>
      <c r="G119" s="45"/>
      <c r="H119" s="46" t="str">
        <f t="shared" si="0"/>
        <v/>
      </c>
      <c r="I119" s="45"/>
      <c r="J119" s="46" t="str">
        <f t="shared" si="1"/>
        <v/>
      </c>
      <c r="K119" s="45"/>
      <c r="L119" s="46" t="str">
        <f t="shared" si="2"/>
        <v/>
      </c>
      <c r="M119" s="45"/>
      <c r="N119" s="46" t="str">
        <f t="shared" si="3"/>
        <v/>
      </c>
      <c r="O119" s="44"/>
      <c r="P119" s="45"/>
      <c r="Q119" s="50" t="str">
        <f t="shared" si="4"/>
        <v/>
      </c>
      <c r="R119" s="53" t="str">
        <f t="shared" si="5"/>
        <v/>
      </c>
      <c r="S119" s="43"/>
      <c r="T119" s="43"/>
      <c r="U119" s="43"/>
      <c r="W119" s="37">
        <v>0</v>
      </c>
      <c r="X119" s="37">
        <v>0</v>
      </c>
      <c r="Y119" s="37">
        <v>0</v>
      </c>
      <c r="Z119" s="37">
        <v>0</v>
      </c>
      <c r="AA119" s="37">
        <v>0</v>
      </c>
      <c r="AB119" s="38">
        <v>0</v>
      </c>
      <c r="AC119" s="38">
        <v>0</v>
      </c>
      <c r="AD119" s="38">
        <v>0</v>
      </c>
      <c r="AE119" s="38">
        <v>0</v>
      </c>
      <c r="AF119" s="38">
        <v>0</v>
      </c>
      <c r="AG119" s="36">
        <f t="shared" si="7"/>
        <v>0</v>
      </c>
      <c r="AI119" s="79">
        <f t="shared" si="32"/>
        <v>0</v>
      </c>
      <c r="AJ119" s="79">
        <f t="shared" si="30"/>
        <v>0</v>
      </c>
      <c r="AK119" s="79">
        <f t="shared" si="8"/>
        <v>0</v>
      </c>
      <c r="AL119" s="79">
        <f t="shared" si="9"/>
        <v>0</v>
      </c>
      <c r="AM119" s="79">
        <f t="shared" si="10"/>
        <v>0</v>
      </c>
      <c r="AN119" s="79">
        <f t="shared" si="11"/>
        <v>0</v>
      </c>
      <c r="AO119" s="79">
        <f t="shared" si="12"/>
        <v>0</v>
      </c>
      <c r="AP119" s="79">
        <f t="shared" si="13"/>
        <v>0</v>
      </c>
      <c r="AQ119" s="79">
        <f t="shared" si="12"/>
        <v>0</v>
      </c>
      <c r="AR119" s="79">
        <f t="shared" si="13"/>
        <v>0</v>
      </c>
      <c r="AS119" s="79">
        <f t="shared" si="14"/>
        <v>0</v>
      </c>
      <c r="AT119" s="79">
        <f t="shared" si="15"/>
        <v>0</v>
      </c>
      <c r="AU119" s="79">
        <f t="shared" si="16"/>
        <v>0</v>
      </c>
      <c r="AV119" s="79">
        <f t="shared" si="17"/>
        <v>0</v>
      </c>
      <c r="AW119" s="79">
        <f t="shared" si="18"/>
        <v>0</v>
      </c>
      <c r="AX119" s="79">
        <f t="shared" si="19"/>
        <v>0</v>
      </c>
      <c r="AY119" s="79">
        <f t="shared" si="20"/>
        <v>0</v>
      </c>
      <c r="AZ119" s="79">
        <f t="shared" si="21"/>
        <v>0</v>
      </c>
      <c r="BA119" s="79">
        <f t="shared" si="22"/>
        <v>0</v>
      </c>
      <c r="BB119" s="79">
        <f t="shared" si="23"/>
        <v>0</v>
      </c>
      <c r="BC119" s="79">
        <f t="shared" si="22"/>
        <v>0</v>
      </c>
      <c r="BD119" s="79">
        <f t="shared" si="23"/>
        <v>0</v>
      </c>
      <c r="BE119" s="79">
        <f t="shared" si="24"/>
        <v>0</v>
      </c>
      <c r="BF119" s="79">
        <f t="shared" si="25"/>
        <v>0</v>
      </c>
      <c r="BG119" s="79">
        <f t="shared" si="26"/>
        <v>0</v>
      </c>
      <c r="BH119" s="79">
        <f t="shared" si="27"/>
        <v>0</v>
      </c>
      <c r="BI119" s="79">
        <f t="shared" si="28"/>
        <v>0</v>
      </c>
      <c r="BJ119" s="79">
        <f t="shared" si="29"/>
        <v>0</v>
      </c>
    </row>
    <row r="120" spans="1:62" x14ac:dyDescent="0.3">
      <c r="A120" s="12" t="str">
        <f>IF(ISBLANK($C120),"",MAX($A$95:$A119)+0.01)</f>
        <v/>
      </c>
      <c r="B120" s="51"/>
      <c r="C120" s="44"/>
      <c r="D120" s="44"/>
      <c r="E120" s="45"/>
      <c r="F120" s="44"/>
      <c r="G120" s="45"/>
      <c r="H120" s="46" t="str">
        <f t="shared" si="0"/>
        <v/>
      </c>
      <c r="I120" s="45"/>
      <c r="J120" s="46" t="str">
        <f t="shared" si="1"/>
        <v/>
      </c>
      <c r="K120" s="45"/>
      <c r="L120" s="46" t="str">
        <f t="shared" si="2"/>
        <v/>
      </c>
      <c r="M120" s="45"/>
      <c r="N120" s="46" t="str">
        <f t="shared" si="3"/>
        <v/>
      </c>
      <c r="O120" s="44"/>
      <c r="P120" s="45"/>
      <c r="Q120" s="50" t="str">
        <f t="shared" si="4"/>
        <v/>
      </c>
      <c r="R120" s="53" t="str">
        <f t="shared" si="5"/>
        <v/>
      </c>
      <c r="S120" s="43"/>
      <c r="T120" s="43"/>
      <c r="U120" s="43"/>
      <c r="W120" s="37">
        <v>0</v>
      </c>
      <c r="X120" s="37">
        <v>0</v>
      </c>
      <c r="Y120" s="37">
        <v>0</v>
      </c>
      <c r="Z120" s="37">
        <v>0</v>
      </c>
      <c r="AA120" s="37">
        <v>0</v>
      </c>
      <c r="AB120" s="38">
        <v>0</v>
      </c>
      <c r="AC120" s="38">
        <v>0</v>
      </c>
      <c r="AD120" s="38">
        <v>0</v>
      </c>
      <c r="AE120" s="38">
        <v>0</v>
      </c>
      <c r="AF120" s="38">
        <v>0</v>
      </c>
      <c r="AG120" s="36">
        <f t="shared" si="7"/>
        <v>0</v>
      </c>
      <c r="AI120" s="79">
        <f t="shared" si="32"/>
        <v>0</v>
      </c>
      <c r="AJ120" s="79">
        <f t="shared" si="30"/>
        <v>0</v>
      </c>
      <c r="AK120" s="79">
        <f t="shared" si="8"/>
        <v>0</v>
      </c>
      <c r="AL120" s="79">
        <f t="shared" si="9"/>
        <v>0</v>
      </c>
      <c r="AM120" s="79">
        <f t="shared" si="10"/>
        <v>0</v>
      </c>
      <c r="AN120" s="79">
        <f t="shared" si="11"/>
        <v>0</v>
      </c>
      <c r="AO120" s="79">
        <f t="shared" si="12"/>
        <v>0</v>
      </c>
      <c r="AP120" s="79">
        <f t="shared" si="13"/>
        <v>0</v>
      </c>
      <c r="AQ120" s="79">
        <f t="shared" si="12"/>
        <v>0</v>
      </c>
      <c r="AR120" s="79">
        <f t="shared" si="13"/>
        <v>0</v>
      </c>
      <c r="AS120" s="79">
        <f t="shared" si="14"/>
        <v>0</v>
      </c>
      <c r="AT120" s="79">
        <f t="shared" si="15"/>
        <v>0</v>
      </c>
      <c r="AU120" s="79">
        <f t="shared" si="16"/>
        <v>0</v>
      </c>
      <c r="AV120" s="79">
        <f t="shared" si="17"/>
        <v>0</v>
      </c>
      <c r="AW120" s="79">
        <f t="shared" si="18"/>
        <v>0</v>
      </c>
      <c r="AX120" s="79">
        <f t="shared" si="19"/>
        <v>0</v>
      </c>
      <c r="AY120" s="79">
        <f t="shared" si="20"/>
        <v>0</v>
      </c>
      <c r="AZ120" s="79">
        <f t="shared" si="21"/>
        <v>0</v>
      </c>
      <c r="BA120" s="79">
        <f t="shared" si="22"/>
        <v>0</v>
      </c>
      <c r="BB120" s="79">
        <f t="shared" si="23"/>
        <v>0</v>
      </c>
      <c r="BC120" s="79">
        <f t="shared" si="22"/>
        <v>0</v>
      </c>
      <c r="BD120" s="79">
        <f t="shared" si="23"/>
        <v>0</v>
      </c>
      <c r="BE120" s="79">
        <f t="shared" si="24"/>
        <v>0</v>
      </c>
      <c r="BF120" s="79">
        <f t="shared" si="25"/>
        <v>0</v>
      </c>
      <c r="BG120" s="79">
        <f t="shared" si="26"/>
        <v>0</v>
      </c>
      <c r="BH120" s="79">
        <f t="shared" si="27"/>
        <v>0</v>
      </c>
      <c r="BI120" s="79">
        <f t="shared" si="28"/>
        <v>0</v>
      </c>
      <c r="BJ120" s="79">
        <f t="shared" si="29"/>
        <v>0</v>
      </c>
    </row>
    <row r="121" spans="1:62" ht="24" customHeight="1" x14ac:dyDescent="0.3">
      <c r="A121" s="20"/>
      <c r="B121" s="234" t="s">
        <v>153</v>
      </c>
      <c r="C121" s="234"/>
      <c r="D121" s="234"/>
      <c r="E121" s="234"/>
      <c r="F121" s="234"/>
      <c r="G121" s="234"/>
      <c r="H121" s="234"/>
      <c r="I121" s="234"/>
      <c r="J121" s="234"/>
      <c r="K121" s="234"/>
      <c r="L121" s="234"/>
      <c r="M121" s="234"/>
      <c r="N121" s="234"/>
      <c r="O121" s="234"/>
      <c r="P121" s="234"/>
      <c r="Q121" s="234"/>
      <c r="R121" s="234"/>
      <c r="S121" s="234"/>
      <c r="T121" s="234"/>
      <c r="U121" s="234"/>
      <c r="W121" s="33" t="s">
        <v>86</v>
      </c>
      <c r="X121" s="33" t="s">
        <v>87</v>
      </c>
      <c r="Y121" s="33" t="s">
        <v>88</v>
      </c>
      <c r="Z121" s="33" t="s">
        <v>89</v>
      </c>
      <c r="AA121" s="33" t="s">
        <v>90</v>
      </c>
      <c r="AB121" s="34" t="s">
        <v>86</v>
      </c>
      <c r="AC121" s="34" t="s">
        <v>87</v>
      </c>
      <c r="AD121" s="34" t="s">
        <v>88</v>
      </c>
      <c r="AE121" s="34" t="s">
        <v>89</v>
      </c>
      <c r="AF121" s="34" t="s">
        <v>90</v>
      </c>
      <c r="AG121" s="35" t="s">
        <v>85</v>
      </c>
      <c r="AI121" s="79">
        <f>SUM(AI104:AI120)</f>
        <v>22</v>
      </c>
      <c r="AJ121" s="79">
        <f>SUM(AJ104:AJ120)</f>
        <v>192</v>
      </c>
      <c r="AK121" s="79">
        <f>SUM(AK104:AK120)</f>
        <v>12</v>
      </c>
      <c r="AL121" s="79">
        <f>SUM(AL104:AL120)</f>
        <v>64</v>
      </c>
      <c r="AM121" s="79">
        <f t="shared" si="10"/>
        <v>0</v>
      </c>
      <c r="AN121" s="79">
        <f t="shared" si="11"/>
        <v>0</v>
      </c>
      <c r="AO121" s="79">
        <f t="shared" si="12"/>
        <v>0</v>
      </c>
      <c r="AP121" s="79">
        <f t="shared" si="13"/>
        <v>0</v>
      </c>
      <c r="AQ121" s="79">
        <f t="shared" si="12"/>
        <v>0</v>
      </c>
      <c r="AR121" s="79">
        <f t="shared" si="13"/>
        <v>0</v>
      </c>
      <c r="AS121" s="79">
        <f t="shared" si="14"/>
        <v>0</v>
      </c>
      <c r="AT121" s="79">
        <f t="shared" si="15"/>
        <v>0</v>
      </c>
      <c r="AU121" s="79">
        <f t="shared" si="16"/>
        <v>0</v>
      </c>
      <c r="AV121" s="79">
        <f t="shared" si="17"/>
        <v>0</v>
      </c>
      <c r="AW121" s="79">
        <f t="shared" si="18"/>
        <v>0</v>
      </c>
      <c r="AX121" s="79">
        <f t="shared" si="19"/>
        <v>0</v>
      </c>
      <c r="AY121" s="79">
        <f t="shared" si="20"/>
        <v>0</v>
      </c>
      <c r="AZ121" s="79">
        <f t="shared" si="21"/>
        <v>0</v>
      </c>
      <c r="BA121" s="79">
        <f t="shared" si="22"/>
        <v>0</v>
      </c>
      <c r="BB121" s="79">
        <f t="shared" si="23"/>
        <v>0</v>
      </c>
      <c r="BC121" s="79">
        <f t="shared" si="22"/>
        <v>0</v>
      </c>
      <c r="BD121" s="79">
        <f t="shared" si="23"/>
        <v>0</v>
      </c>
      <c r="BE121" s="79">
        <f t="shared" si="24"/>
        <v>0</v>
      </c>
      <c r="BF121" s="79">
        <f t="shared" si="25"/>
        <v>0</v>
      </c>
      <c r="BG121" s="79">
        <f t="shared" si="26"/>
        <v>0</v>
      </c>
      <c r="BH121" s="79">
        <f t="shared" si="27"/>
        <v>0</v>
      </c>
      <c r="BI121" s="79">
        <f t="shared" si="28"/>
        <v>0</v>
      </c>
      <c r="BJ121" s="79">
        <f t="shared" si="29"/>
        <v>0</v>
      </c>
    </row>
    <row r="122" spans="1:62" ht="55.2" x14ac:dyDescent="0.3">
      <c r="A122" s="12">
        <f>IF(ISBLANK($C122),"",MAX($A$95:$A121)+0.01)</f>
        <v>4.1299999999999972</v>
      </c>
      <c r="B122" s="65" t="s">
        <v>13</v>
      </c>
      <c r="C122" s="66" t="s">
        <v>147</v>
      </c>
      <c r="D122" s="44" t="s">
        <v>79</v>
      </c>
      <c r="E122" s="45" t="s">
        <v>43</v>
      </c>
      <c r="F122" s="44" t="s">
        <v>56</v>
      </c>
      <c r="G122" s="45" t="s">
        <v>95</v>
      </c>
      <c r="H122" s="46">
        <f t="shared" ref="H122:H141" si="59">IFERROR(VLOOKUP($E122,$D$199:$E$203,2,FALSE)*VLOOKUP($G122,$D$206:$E$210,2,FALSE),"")</f>
        <v>2</v>
      </c>
      <c r="I122" s="45" t="s">
        <v>94</v>
      </c>
      <c r="J122" s="46">
        <f t="shared" ref="J122:J141" si="60">IFERROR(VLOOKUP($E122,$D$199:$E$203,2,FALSE)*VLOOKUP($I122,$D$213:$E$217,2,FALSE),"")</f>
        <v>1</v>
      </c>
      <c r="K122" s="45" t="s">
        <v>91</v>
      </c>
      <c r="L122" s="46">
        <f t="shared" ref="L122:L141" si="61">IFERROR(VLOOKUP($E122,$D$199:$E$203,2,FALSE)*VLOOKUP($K122,$D$220:$E$224,2,FALSE),"")</f>
        <v>0</v>
      </c>
      <c r="M122" s="45" t="s">
        <v>94</v>
      </c>
      <c r="N122" s="46">
        <f t="shared" ref="N122:N141" si="62">IFERROR(VLOOKUP($E122,$D$199:$E$203,2,FALSE)*VLOOKUP($M122,$D$227:$E$231,2,FALSE),"")</f>
        <v>1</v>
      </c>
      <c r="O122" s="44" t="s">
        <v>175</v>
      </c>
      <c r="P122" s="45" t="s">
        <v>91</v>
      </c>
      <c r="Q122" s="46">
        <f t="shared" ref="Q122:Q141" si="63">IFERROR(VLOOKUP($E122,$D$199:$E$203,2,FALSE)*VLOOKUP($P122,$D$234:$E$238,2,FALSE),"")</f>
        <v>0</v>
      </c>
      <c r="R122" s="53" t="str">
        <f t="shared" ref="R122:R141" si="64">IF(LEFT($D$16,3)="Yes",IF(IFERROR(FIND("DP",$B122),0)&gt;0,IF(_xlfn.NUMBERVALUE($Q122)&gt;=$N$235,"High",IF(_xlfn.NUMBERVALUE($Q122)&gt;=$N$234,"Medium",IF(_xlfn.NUMBERVALUE($Q122)&gt;0,"Low",IF($P122="N/A","","make choice")))),""),"")</f>
        <v/>
      </c>
      <c r="S122" s="43"/>
      <c r="T122" s="43" t="s">
        <v>174</v>
      </c>
      <c r="U122" s="43" t="s">
        <v>476</v>
      </c>
      <c r="W122" s="37">
        <v>0</v>
      </c>
      <c r="X122" s="37">
        <v>0</v>
      </c>
      <c r="Y122" s="37">
        <v>0</v>
      </c>
      <c r="Z122" s="37">
        <v>0</v>
      </c>
      <c r="AA122" s="37">
        <v>0</v>
      </c>
      <c r="AB122" s="38">
        <v>0</v>
      </c>
      <c r="AC122" s="38">
        <v>0</v>
      </c>
      <c r="AD122" s="38">
        <v>0</v>
      </c>
      <c r="AE122" s="38">
        <v>0</v>
      </c>
      <c r="AF122" s="38">
        <v>0</v>
      </c>
      <c r="AG122" s="36">
        <f t="shared" ref="AG122" si="65">IF($AG$100=5,SUM(AB122:AF122),IF($AG$100=4,SUM(AB122:AE122),IF($AG$100=3,SUM(AB122:AD122),IF($AG$100=2,SUM(AB122:AC122),AB122))))/$AG$100</f>
        <v>0</v>
      </c>
      <c r="AI122" s="56"/>
      <c r="AJ122" s="56"/>
      <c r="AK122" s="56"/>
      <c r="AL122" s="56"/>
      <c r="AM122" s="79">
        <f t="shared" si="10"/>
        <v>0</v>
      </c>
      <c r="AN122" s="79">
        <f t="shared" si="11"/>
        <v>0</v>
      </c>
      <c r="AO122" s="79">
        <f t="shared" si="12"/>
        <v>0</v>
      </c>
      <c r="AP122" s="79">
        <f t="shared" si="13"/>
        <v>0</v>
      </c>
      <c r="AQ122" s="79">
        <f t="shared" si="12"/>
        <v>2</v>
      </c>
      <c r="AR122" s="79">
        <f t="shared" si="13"/>
        <v>16</v>
      </c>
      <c r="AS122" s="79">
        <f t="shared" si="14"/>
        <v>0</v>
      </c>
      <c r="AT122" s="79">
        <f t="shared" si="15"/>
        <v>0</v>
      </c>
      <c r="AU122" s="79">
        <f t="shared" si="16"/>
        <v>0</v>
      </c>
      <c r="AV122" s="79">
        <f t="shared" si="17"/>
        <v>0</v>
      </c>
      <c r="AW122" s="79">
        <f t="shared" si="18"/>
        <v>0</v>
      </c>
      <c r="AX122" s="79">
        <f t="shared" si="19"/>
        <v>0</v>
      </c>
      <c r="AY122" s="79">
        <f t="shared" si="20"/>
        <v>0</v>
      </c>
      <c r="AZ122" s="79">
        <f t="shared" si="21"/>
        <v>0</v>
      </c>
      <c r="BA122" s="79">
        <f t="shared" si="22"/>
        <v>0</v>
      </c>
      <c r="BB122" s="79">
        <f t="shared" si="23"/>
        <v>0</v>
      </c>
      <c r="BC122" s="79">
        <f t="shared" si="22"/>
        <v>1</v>
      </c>
      <c r="BD122" s="79">
        <f t="shared" si="23"/>
        <v>16</v>
      </c>
      <c r="BE122" s="79">
        <f t="shared" si="24"/>
        <v>0</v>
      </c>
      <c r="BF122" s="79">
        <f t="shared" si="25"/>
        <v>0</v>
      </c>
      <c r="BG122" s="79">
        <f t="shared" si="26"/>
        <v>0</v>
      </c>
      <c r="BH122" s="79">
        <f t="shared" si="27"/>
        <v>0</v>
      </c>
      <c r="BI122" s="79">
        <f t="shared" si="28"/>
        <v>0</v>
      </c>
      <c r="BJ122" s="79">
        <f t="shared" si="29"/>
        <v>0</v>
      </c>
    </row>
    <row r="123" spans="1:62" ht="55.2" x14ac:dyDescent="0.3">
      <c r="A123" s="12">
        <f>IF(ISBLANK($C123),"",MAX($A$95:$A122)+0.01)</f>
        <v>4.139999999999997</v>
      </c>
      <c r="B123" s="65" t="s">
        <v>67</v>
      </c>
      <c r="C123" s="66" t="s">
        <v>148</v>
      </c>
      <c r="D123" s="44" t="s">
        <v>79</v>
      </c>
      <c r="E123" s="45" t="s">
        <v>43</v>
      </c>
      <c r="F123" s="44" t="s">
        <v>56</v>
      </c>
      <c r="G123" s="45" t="s">
        <v>95</v>
      </c>
      <c r="H123" s="46">
        <f t="shared" si="59"/>
        <v>2</v>
      </c>
      <c r="I123" s="45" t="s">
        <v>94</v>
      </c>
      <c r="J123" s="46">
        <f t="shared" si="60"/>
        <v>1</v>
      </c>
      <c r="K123" s="45" t="s">
        <v>91</v>
      </c>
      <c r="L123" s="46">
        <f t="shared" si="61"/>
        <v>0</v>
      </c>
      <c r="M123" s="45" t="s">
        <v>94</v>
      </c>
      <c r="N123" s="46">
        <f t="shared" si="62"/>
        <v>1</v>
      </c>
      <c r="O123" s="44" t="s">
        <v>175</v>
      </c>
      <c r="P123" s="45" t="s">
        <v>91</v>
      </c>
      <c r="Q123" s="46">
        <f t="shared" si="63"/>
        <v>0</v>
      </c>
      <c r="R123" s="53" t="str">
        <f t="shared" si="64"/>
        <v/>
      </c>
      <c r="S123" s="43"/>
      <c r="T123" s="43" t="s">
        <v>174</v>
      </c>
      <c r="U123" s="43" t="s">
        <v>476</v>
      </c>
      <c r="W123" s="37">
        <v>0</v>
      </c>
      <c r="X123" s="37">
        <v>0</v>
      </c>
      <c r="Y123" s="37">
        <v>0</v>
      </c>
      <c r="Z123" s="37">
        <v>0</v>
      </c>
      <c r="AA123" s="37">
        <v>0</v>
      </c>
      <c r="AB123" s="38">
        <v>0</v>
      </c>
      <c r="AC123" s="38">
        <v>0</v>
      </c>
      <c r="AD123" s="38">
        <v>0</v>
      </c>
      <c r="AE123" s="38">
        <v>0</v>
      </c>
      <c r="AF123" s="38">
        <v>0</v>
      </c>
      <c r="AG123" s="36">
        <f t="shared" si="6"/>
        <v>0</v>
      </c>
      <c r="AI123" s="56"/>
      <c r="AJ123" s="56"/>
      <c r="AK123" s="56"/>
      <c r="AL123" s="56"/>
      <c r="AM123" s="79">
        <f t="shared" si="10"/>
        <v>0</v>
      </c>
      <c r="AN123" s="79">
        <f t="shared" si="11"/>
        <v>0</v>
      </c>
      <c r="AO123" s="79">
        <f t="shared" si="12"/>
        <v>2</v>
      </c>
      <c r="AP123" s="79">
        <f t="shared" si="13"/>
        <v>16</v>
      </c>
      <c r="AQ123" s="79">
        <f t="shared" si="12"/>
        <v>0</v>
      </c>
      <c r="AR123" s="79">
        <f t="shared" si="13"/>
        <v>0</v>
      </c>
      <c r="AS123" s="79">
        <f t="shared" si="14"/>
        <v>0</v>
      </c>
      <c r="AT123" s="79">
        <f t="shared" si="15"/>
        <v>0</v>
      </c>
      <c r="AU123" s="79">
        <f t="shared" si="16"/>
        <v>0</v>
      </c>
      <c r="AV123" s="79">
        <f t="shared" si="17"/>
        <v>0</v>
      </c>
      <c r="AW123" s="79">
        <f t="shared" si="18"/>
        <v>0</v>
      </c>
      <c r="AX123" s="79">
        <f t="shared" si="19"/>
        <v>0</v>
      </c>
      <c r="AY123" s="79">
        <f t="shared" si="20"/>
        <v>0</v>
      </c>
      <c r="AZ123" s="79">
        <f t="shared" si="21"/>
        <v>0</v>
      </c>
      <c r="BA123" s="79">
        <f t="shared" si="22"/>
        <v>1</v>
      </c>
      <c r="BB123" s="79">
        <f t="shared" si="23"/>
        <v>16</v>
      </c>
      <c r="BC123" s="79">
        <f t="shared" si="22"/>
        <v>0</v>
      </c>
      <c r="BD123" s="79">
        <f t="shared" si="23"/>
        <v>0</v>
      </c>
      <c r="BE123" s="79">
        <f t="shared" si="24"/>
        <v>0</v>
      </c>
      <c r="BF123" s="79">
        <f t="shared" si="25"/>
        <v>0</v>
      </c>
      <c r="BG123" s="79">
        <f t="shared" si="26"/>
        <v>0</v>
      </c>
      <c r="BH123" s="79">
        <f t="shared" si="27"/>
        <v>0</v>
      </c>
      <c r="BI123" s="79">
        <f t="shared" si="28"/>
        <v>0</v>
      </c>
      <c r="BJ123" s="79">
        <f t="shared" si="29"/>
        <v>0</v>
      </c>
    </row>
    <row r="124" spans="1:62" ht="55.2" x14ac:dyDescent="0.3">
      <c r="A124" s="12">
        <f>IF(ISBLANK($C124),"",MAX($A$95:$A123)+0.01)</f>
        <v>4.1499999999999968</v>
      </c>
      <c r="B124" s="65" t="s">
        <v>16</v>
      </c>
      <c r="C124" s="66" t="s">
        <v>427</v>
      </c>
      <c r="D124" s="44" t="s">
        <v>79</v>
      </c>
      <c r="E124" s="45" t="s">
        <v>43</v>
      </c>
      <c r="F124" s="44" t="s">
        <v>56</v>
      </c>
      <c r="G124" s="45" t="s">
        <v>95</v>
      </c>
      <c r="H124" s="46">
        <f t="shared" si="59"/>
        <v>2</v>
      </c>
      <c r="I124" s="45" t="s">
        <v>94</v>
      </c>
      <c r="J124" s="46">
        <f t="shared" si="60"/>
        <v>1</v>
      </c>
      <c r="K124" s="45" t="s">
        <v>91</v>
      </c>
      <c r="L124" s="46">
        <f t="shared" si="61"/>
        <v>0</v>
      </c>
      <c r="M124" s="45" t="s">
        <v>94</v>
      </c>
      <c r="N124" s="46">
        <f t="shared" si="62"/>
        <v>1</v>
      </c>
      <c r="O124" s="44" t="s">
        <v>175</v>
      </c>
      <c r="P124" s="45" t="s">
        <v>91</v>
      </c>
      <c r="Q124" s="46">
        <f t="shared" si="63"/>
        <v>0</v>
      </c>
      <c r="R124" s="53" t="str">
        <f t="shared" si="64"/>
        <v/>
      </c>
      <c r="S124" s="43"/>
      <c r="T124" s="43" t="s">
        <v>174</v>
      </c>
      <c r="U124" s="43" t="s">
        <v>476</v>
      </c>
      <c r="W124" s="37">
        <v>0</v>
      </c>
      <c r="X124" s="37">
        <v>0</v>
      </c>
      <c r="Y124" s="37">
        <v>0</v>
      </c>
      <c r="Z124" s="37">
        <v>0</v>
      </c>
      <c r="AA124" s="37">
        <v>0</v>
      </c>
      <c r="AB124" s="38">
        <v>0</v>
      </c>
      <c r="AC124" s="38">
        <v>0</v>
      </c>
      <c r="AD124" s="38">
        <v>0</v>
      </c>
      <c r="AE124" s="38">
        <v>0</v>
      </c>
      <c r="AF124" s="38">
        <v>0</v>
      </c>
      <c r="AG124" s="36">
        <f t="shared" si="6"/>
        <v>0</v>
      </c>
      <c r="AI124" s="56"/>
      <c r="AJ124" s="56"/>
      <c r="AK124" s="56"/>
      <c r="AL124" s="56"/>
      <c r="AM124" s="79">
        <f t="shared" si="10"/>
        <v>2</v>
      </c>
      <c r="AN124" s="79">
        <f t="shared" si="11"/>
        <v>16</v>
      </c>
      <c r="AO124" s="79">
        <f t="shared" si="12"/>
        <v>0</v>
      </c>
      <c r="AP124" s="79">
        <f t="shared" si="13"/>
        <v>0</v>
      </c>
      <c r="AQ124" s="79">
        <f t="shared" si="12"/>
        <v>0</v>
      </c>
      <c r="AR124" s="79">
        <f t="shared" si="13"/>
        <v>0</v>
      </c>
      <c r="AS124" s="79">
        <f t="shared" si="14"/>
        <v>0</v>
      </c>
      <c r="AT124" s="79">
        <f t="shared" si="15"/>
        <v>0</v>
      </c>
      <c r="AU124" s="79">
        <f t="shared" si="16"/>
        <v>0</v>
      </c>
      <c r="AV124" s="79">
        <f t="shared" si="17"/>
        <v>0</v>
      </c>
      <c r="AW124" s="79">
        <f t="shared" si="18"/>
        <v>0</v>
      </c>
      <c r="AX124" s="79">
        <f t="shared" si="19"/>
        <v>0</v>
      </c>
      <c r="AY124" s="79">
        <f t="shared" si="20"/>
        <v>1</v>
      </c>
      <c r="AZ124" s="79">
        <f t="shared" si="21"/>
        <v>16</v>
      </c>
      <c r="BA124" s="79">
        <f t="shared" si="22"/>
        <v>0</v>
      </c>
      <c r="BB124" s="79">
        <f t="shared" si="23"/>
        <v>0</v>
      </c>
      <c r="BC124" s="79">
        <f t="shared" si="22"/>
        <v>0</v>
      </c>
      <c r="BD124" s="79">
        <f t="shared" si="23"/>
        <v>0</v>
      </c>
      <c r="BE124" s="79">
        <f t="shared" si="24"/>
        <v>0</v>
      </c>
      <c r="BF124" s="79">
        <f t="shared" si="25"/>
        <v>0</v>
      </c>
      <c r="BG124" s="79">
        <f t="shared" si="26"/>
        <v>0</v>
      </c>
      <c r="BH124" s="79">
        <f t="shared" si="27"/>
        <v>0</v>
      </c>
      <c r="BI124" s="79">
        <f t="shared" si="28"/>
        <v>0</v>
      </c>
      <c r="BJ124" s="79">
        <f t="shared" si="29"/>
        <v>0</v>
      </c>
    </row>
    <row r="125" spans="1:62" ht="27.6" x14ac:dyDescent="0.3">
      <c r="A125" s="12">
        <f>IF(ISBLANK($C125),"",MAX($A$95:$A124)+0.01)</f>
        <v>4.1599999999999966</v>
      </c>
      <c r="B125" s="65" t="s">
        <v>13</v>
      </c>
      <c r="C125" s="66" t="s">
        <v>144</v>
      </c>
      <c r="D125" s="44" t="s">
        <v>512</v>
      </c>
      <c r="E125" s="45" t="s">
        <v>91</v>
      </c>
      <c r="F125" s="47"/>
      <c r="G125" s="45"/>
      <c r="H125" s="46" t="str">
        <f t="shared" si="59"/>
        <v/>
      </c>
      <c r="I125" s="45"/>
      <c r="J125" s="46" t="str">
        <f t="shared" si="60"/>
        <v/>
      </c>
      <c r="K125" s="45"/>
      <c r="L125" s="46" t="str">
        <f t="shared" si="61"/>
        <v/>
      </c>
      <c r="M125" s="45"/>
      <c r="N125" s="46" t="str">
        <f t="shared" si="62"/>
        <v/>
      </c>
      <c r="O125" s="44"/>
      <c r="P125" s="45"/>
      <c r="Q125" s="46" t="str">
        <f t="shared" si="63"/>
        <v/>
      </c>
      <c r="R125" s="53" t="str">
        <f t="shared" si="64"/>
        <v/>
      </c>
      <c r="S125" s="43"/>
      <c r="T125" s="43"/>
      <c r="U125" s="43"/>
      <c r="W125" s="37">
        <v>0</v>
      </c>
      <c r="X125" s="37">
        <v>0</v>
      </c>
      <c r="Y125" s="37">
        <v>0</v>
      </c>
      <c r="Z125" s="37">
        <v>0</v>
      </c>
      <c r="AA125" s="37">
        <v>0</v>
      </c>
      <c r="AB125" s="38">
        <v>0</v>
      </c>
      <c r="AC125" s="38">
        <v>0</v>
      </c>
      <c r="AD125" s="38">
        <v>0</v>
      </c>
      <c r="AE125" s="38">
        <v>0</v>
      </c>
      <c r="AF125" s="38">
        <v>0</v>
      </c>
      <c r="AG125" s="36">
        <f t="shared" si="6"/>
        <v>0</v>
      </c>
      <c r="AI125" s="56"/>
      <c r="AJ125" s="56"/>
      <c r="AK125" s="56"/>
      <c r="AL125" s="56"/>
      <c r="AM125" s="79">
        <f t="shared" si="10"/>
        <v>0</v>
      </c>
      <c r="AN125" s="79">
        <f t="shared" si="11"/>
        <v>0</v>
      </c>
      <c r="AO125" s="79">
        <f t="shared" si="12"/>
        <v>0</v>
      </c>
      <c r="AP125" s="79">
        <f t="shared" si="13"/>
        <v>0</v>
      </c>
      <c r="AQ125" s="79">
        <f t="shared" si="12"/>
        <v>0</v>
      </c>
      <c r="AR125" s="79">
        <f t="shared" si="13"/>
        <v>0</v>
      </c>
      <c r="AS125" s="79">
        <f t="shared" si="14"/>
        <v>0</v>
      </c>
      <c r="AT125" s="79">
        <f t="shared" si="15"/>
        <v>0</v>
      </c>
      <c r="AU125" s="79">
        <f t="shared" si="16"/>
        <v>0</v>
      </c>
      <c r="AV125" s="79">
        <f t="shared" si="17"/>
        <v>0</v>
      </c>
      <c r="AW125" s="79">
        <f t="shared" si="18"/>
        <v>0</v>
      </c>
      <c r="AX125" s="79">
        <f t="shared" si="19"/>
        <v>0</v>
      </c>
      <c r="AY125" s="79">
        <f t="shared" si="20"/>
        <v>0</v>
      </c>
      <c r="AZ125" s="79">
        <f t="shared" si="21"/>
        <v>0</v>
      </c>
      <c r="BA125" s="79">
        <f t="shared" si="22"/>
        <v>0</v>
      </c>
      <c r="BB125" s="79">
        <f t="shared" si="23"/>
        <v>0</v>
      </c>
      <c r="BC125" s="79">
        <f t="shared" si="22"/>
        <v>0</v>
      </c>
      <c r="BD125" s="79">
        <f t="shared" si="23"/>
        <v>0</v>
      </c>
      <c r="BE125" s="79">
        <f t="shared" si="24"/>
        <v>0</v>
      </c>
      <c r="BF125" s="79">
        <f t="shared" si="25"/>
        <v>0</v>
      </c>
      <c r="BG125" s="79">
        <f t="shared" si="26"/>
        <v>0</v>
      </c>
      <c r="BH125" s="79">
        <f t="shared" si="27"/>
        <v>0</v>
      </c>
      <c r="BI125" s="79">
        <f t="shared" si="28"/>
        <v>0</v>
      </c>
      <c r="BJ125" s="79">
        <f t="shared" si="29"/>
        <v>0</v>
      </c>
    </row>
    <row r="126" spans="1:62" ht="27.6" x14ac:dyDescent="0.3">
      <c r="A126" s="12">
        <f>IF(ISBLANK($C126),"",MAX($A$95:$A125)+0.01)</f>
        <v>4.1699999999999964</v>
      </c>
      <c r="B126" s="69" t="s">
        <v>67</v>
      </c>
      <c r="C126" s="70" t="s">
        <v>145</v>
      </c>
      <c r="D126" s="44" t="s">
        <v>512</v>
      </c>
      <c r="E126" s="45" t="s">
        <v>91</v>
      </c>
      <c r="F126" s="47"/>
      <c r="G126" s="45"/>
      <c r="H126" s="46" t="str">
        <f t="shared" si="59"/>
        <v/>
      </c>
      <c r="I126" s="45"/>
      <c r="J126" s="46" t="str">
        <f t="shared" si="60"/>
        <v/>
      </c>
      <c r="K126" s="45"/>
      <c r="L126" s="46" t="str">
        <f t="shared" si="61"/>
        <v/>
      </c>
      <c r="M126" s="45"/>
      <c r="N126" s="46" t="str">
        <f t="shared" si="62"/>
        <v/>
      </c>
      <c r="O126" s="44"/>
      <c r="P126" s="45"/>
      <c r="Q126" s="46" t="str">
        <f t="shared" si="63"/>
        <v/>
      </c>
      <c r="R126" s="53" t="str">
        <f t="shared" si="64"/>
        <v/>
      </c>
      <c r="S126" s="43"/>
      <c r="T126" s="43"/>
      <c r="U126" s="43"/>
      <c r="W126" s="37">
        <v>0</v>
      </c>
      <c r="X126" s="37">
        <v>0</v>
      </c>
      <c r="Y126" s="37">
        <v>0</v>
      </c>
      <c r="Z126" s="37">
        <v>0</v>
      </c>
      <c r="AA126" s="37">
        <v>0</v>
      </c>
      <c r="AB126" s="38">
        <v>0</v>
      </c>
      <c r="AC126" s="38">
        <v>0</v>
      </c>
      <c r="AD126" s="38">
        <v>0</v>
      </c>
      <c r="AE126" s="38">
        <v>0</v>
      </c>
      <c r="AF126" s="38">
        <v>0</v>
      </c>
      <c r="AG126" s="36">
        <f t="shared" si="6"/>
        <v>0</v>
      </c>
      <c r="AI126" s="56"/>
      <c r="AJ126" s="56"/>
      <c r="AK126" s="56"/>
      <c r="AL126" s="56"/>
      <c r="AM126" s="79">
        <f t="shared" si="10"/>
        <v>0</v>
      </c>
      <c r="AN126" s="79">
        <f t="shared" si="11"/>
        <v>0</v>
      </c>
      <c r="AO126" s="79">
        <f t="shared" si="12"/>
        <v>0</v>
      </c>
      <c r="AP126" s="79">
        <f t="shared" si="13"/>
        <v>0</v>
      </c>
      <c r="AQ126" s="79">
        <f t="shared" si="12"/>
        <v>0</v>
      </c>
      <c r="AR126" s="79">
        <f t="shared" si="13"/>
        <v>0</v>
      </c>
      <c r="AS126" s="79">
        <f t="shared" si="14"/>
        <v>0</v>
      </c>
      <c r="AT126" s="79">
        <f t="shared" si="15"/>
        <v>0</v>
      </c>
      <c r="AU126" s="79">
        <f t="shared" si="16"/>
        <v>0</v>
      </c>
      <c r="AV126" s="79">
        <f t="shared" si="17"/>
        <v>0</v>
      </c>
      <c r="AW126" s="79">
        <f t="shared" si="18"/>
        <v>0</v>
      </c>
      <c r="AX126" s="79">
        <f t="shared" si="19"/>
        <v>0</v>
      </c>
      <c r="AY126" s="79">
        <f t="shared" si="20"/>
        <v>0</v>
      </c>
      <c r="AZ126" s="79">
        <f t="shared" si="21"/>
        <v>0</v>
      </c>
      <c r="BA126" s="79">
        <f t="shared" si="22"/>
        <v>0</v>
      </c>
      <c r="BB126" s="79">
        <f t="shared" si="23"/>
        <v>0</v>
      </c>
      <c r="BC126" s="79">
        <f t="shared" si="22"/>
        <v>0</v>
      </c>
      <c r="BD126" s="79">
        <f t="shared" si="23"/>
        <v>0</v>
      </c>
      <c r="BE126" s="79">
        <f t="shared" si="24"/>
        <v>0</v>
      </c>
      <c r="BF126" s="79">
        <f t="shared" si="25"/>
        <v>0</v>
      </c>
      <c r="BG126" s="79">
        <f t="shared" si="26"/>
        <v>0</v>
      </c>
      <c r="BH126" s="79">
        <f t="shared" si="27"/>
        <v>0</v>
      </c>
      <c r="BI126" s="79">
        <f t="shared" si="28"/>
        <v>0</v>
      </c>
      <c r="BJ126" s="79">
        <f t="shared" si="29"/>
        <v>0</v>
      </c>
    </row>
    <row r="127" spans="1:62" ht="55.2" x14ac:dyDescent="0.3">
      <c r="A127" s="12">
        <f>IF(ISBLANK($C127),"",MAX($A$95:$A126)+0.01)</f>
        <v>4.1799999999999962</v>
      </c>
      <c r="B127" s="69" t="s">
        <v>16</v>
      </c>
      <c r="C127" s="70" t="s">
        <v>154</v>
      </c>
      <c r="D127" s="44" t="s">
        <v>512</v>
      </c>
      <c r="E127" s="45" t="s">
        <v>91</v>
      </c>
      <c r="F127" s="47"/>
      <c r="G127" s="45"/>
      <c r="H127" s="46" t="str">
        <f t="shared" si="59"/>
        <v/>
      </c>
      <c r="I127" s="45"/>
      <c r="J127" s="46" t="str">
        <f t="shared" si="60"/>
        <v/>
      </c>
      <c r="K127" s="45"/>
      <c r="L127" s="46" t="str">
        <f t="shared" si="61"/>
        <v/>
      </c>
      <c r="M127" s="45"/>
      <c r="N127" s="46" t="str">
        <f t="shared" si="62"/>
        <v/>
      </c>
      <c r="O127" s="44"/>
      <c r="P127" s="45" t="s">
        <v>91</v>
      </c>
      <c r="Q127" s="46">
        <f t="shared" si="63"/>
        <v>0</v>
      </c>
      <c r="R127" s="53" t="str">
        <f t="shared" si="64"/>
        <v/>
      </c>
      <c r="S127" s="43"/>
      <c r="T127" s="43"/>
      <c r="U127" s="43"/>
      <c r="W127" s="37">
        <v>0</v>
      </c>
      <c r="X127" s="37">
        <v>0</v>
      </c>
      <c r="Y127" s="37">
        <v>0</v>
      </c>
      <c r="Z127" s="37">
        <v>0</v>
      </c>
      <c r="AA127" s="37">
        <v>0</v>
      </c>
      <c r="AB127" s="38">
        <v>0</v>
      </c>
      <c r="AC127" s="38">
        <v>0</v>
      </c>
      <c r="AD127" s="38">
        <v>0</v>
      </c>
      <c r="AE127" s="38">
        <v>0</v>
      </c>
      <c r="AF127" s="38">
        <v>0</v>
      </c>
      <c r="AG127" s="36">
        <f t="shared" ref="AG127" si="66">IF($AG$100=5,SUM(AB127:AF127),IF($AG$100=4,SUM(AB127:AE127),IF($AG$100=3,SUM(AB127:AD127),IF($AG$100=2,SUM(AB127:AC127),AB127))))/$AG$100</f>
        <v>0</v>
      </c>
      <c r="AI127" s="56"/>
      <c r="AJ127" s="56"/>
      <c r="AK127" s="56"/>
      <c r="AL127" s="56"/>
      <c r="AM127" s="79">
        <f t="shared" si="10"/>
        <v>0</v>
      </c>
      <c r="AN127" s="79">
        <f t="shared" si="11"/>
        <v>0</v>
      </c>
      <c r="AO127" s="79">
        <f t="shared" si="12"/>
        <v>0</v>
      </c>
      <c r="AP127" s="79">
        <f t="shared" si="13"/>
        <v>0</v>
      </c>
      <c r="AQ127" s="79">
        <f t="shared" si="12"/>
        <v>0</v>
      </c>
      <c r="AR127" s="79">
        <f t="shared" si="13"/>
        <v>0</v>
      </c>
      <c r="AS127" s="79">
        <f t="shared" si="14"/>
        <v>0</v>
      </c>
      <c r="AT127" s="79">
        <f t="shared" si="15"/>
        <v>0</v>
      </c>
      <c r="AU127" s="79">
        <f t="shared" si="16"/>
        <v>0</v>
      </c>
      <c r="AV127" s="79">
        <f t="shared" si="17"/>
        <v>0</v>
      </c>
      <c r="AW127" s="79">
        <f t="shared" si="18"/>
        <v>0</v>
      </c>
      <c r="AX127" s="79">
        <f t="shared" si="19"/>
        <v>0</v>
      </c>
      <c r="AY127" s="79">
        <f t="shared" si="20"/>
        <v>0</v>
      </c>
      <c r="AZ127" s="79">
        <f t="shared" si="21"/>
        <v>0</v>
      </c>
      <c r="BA127" s="79">
        <f t="shared" si="22"/>
        <v>0</v>
      </c>
      <c r="BB127" s="79">
        <f t="shared" si="23"/>
        <v>0</v>
      </c>
      <c r="BC127" s="79">
        <f t="shared" si="22"/>
        <v>0</v>
      </c>
      <c r="BD127" s="79">
        <f t="shared" si="23"/>
        <v>0</v>
      </c>
      <c r="BE127" s="79">
        <f t="shared" si="24"/>
        <v>0</v>
      </c>
      <c r="BF127" s="79">
        <f t="shared" si="25"/>
        <v>0</v>
      </c>
      <c r="BG127" s="79">
        <f t="shared" si="26"/>
        <v>0</v>
      </c>
      <c r="BH127" s="79">
        <f t="shared" si="27"/>
        <v>0</v>
      </c>
      <c r="BI127" s="79">
        <f t="shared" si="28"/>
        <v>0</v>
      </c>
      <c r="BJ127" s="79">
        <f t="shared" si="29"/>
        <v>0</v>
      </c>
    </row>
    <row r="128" spans="1:62" ht="41.4" x14ac:dyDescent="0.3">
      <c r="A128" s="12">
        <f>IF(ISBLANK($C128),"",MAX($A$95:$A127)+0.01)</f>
        <v>4.1899999999999959</v>
      </c>
      <c r="B128" s="69" t="s">
        <v>16</v>
      </c>
      <c r="C128" s="70" t="s">
        <v>149</v>
      </c>
      <c r="D128" s="44" t="s">
        <v>512</v>
      </c>
      <c r="E128" s="45" t="s">
        <v>91</v>
      </c>
      <c r="F128" s="47"/>
      <c r="G128" s="45"/>
      <c r="H128" s="46" t="str">
        <f t="shared" si="59"/>
        <v/>
      </c>
      <c r="I128" s="45"/>
      <c r="J128" s="46" t="str">
        <f t="shared" si="60"/>
        <v/>
      </c>
      <c r="K128" s="45"/>
      <c r="L128" s="46" t="str">
        <f t="shared" si="61"/>
        <v/>
      </c>
      <c r="M128" s="45"/>
      <c r="N128" s="46" t="str">
        <f t="shared" si="62"/>
        <v/>
      </c>
      <c r="O128" s="44"/>
      <c r="P128" s="45" t="s">
        <v>91</v>
      </c>
      <c r="Q128" s="46">
        <f t="shared" si="63"/>
        <v>0</v>
      </c>
      <c r="R128" s="53" t="str">
        <f t="shared" si="64"/>
        <v/>
      </c>
      <c r="S128" s="43"/>
      <c r="T128" s="43"/>
      <c r="U128" s="43"/>
      <c r="W128" s="37">
        <v>0</v>
      </c>
      <c r="X128" s="37">
        <v>0</v>
      </c>
      <c r="Y128" s="37">
        <v>0</v>
      </c>
      <c r="Z128" s="37">
        <v>0</v>
      </c>
      <c r="AA128" s="37">
        <v>0</v>
      </c>
      <c r="AB128" s="38">
        <v>0</v>
      </c>
      <c r="AC128" s="38">
        <v>0</v>
      </c>
      <c r="AD128" s="38">
        <v>0</v>
      </c>
      <c r="AE128" s="38">
        <v>0</v>
      </c>
      <c r="AF128" s="38">
        <v>0</v>
      </c>
      <c r="AG128" s="36">
        <f t="shared" si="6"/>
        <v>0</v>
      </c>
      <c r="AI128" s="56"/>
      <c r="AJ128" s="56"/>
      <c r="AK128" s="56"/>
      <c r="AL128" s="56"/>
      <c r="AM128" s="79">
        <f t="shared" si="10"/>
        <v>0</v>
      </c>
      <c r="AN128" s="79">
        <f t="shared" si="11"/>
        <v>0</v>
      </c>
      <c r="AO128" s="79">
        <f t="shared" si="12"/>
        <v>0</v>
      </c>
      <c r="AP128" s="79">
        <f t="shared" si="13"/>
        <v>0</v>
      </c>
      <c r="AQ128" s="79">
        <f t="shared" si="12"/>
        <v>0</v>
      </c>
      <c r="AR128" s="79">
        <f t="shared" si="13"/>
        <v>0</v>
      </c>
      <c r="AS128" s="79">
        <f t="shared" si="14"/>
        <v>0</v>
      </c>
      <c r="AT128" s="79">
        <f t="shared" si="15"/>
        <v>0</v>
      </c>
      <c r="AU128" s="79">
        <f t="shared" si="16"/>
        <v>0</v>
      </c>
      <c r="AV128" s="79">
        <f t="shared" si="17"/>
        <v>0</v>
      </c>
      <c r="AW128" s="79">
        <f t="shared" si="18"/>
        <v>0</v>
      </c>
      <c r="AX128" s="79">
        <f t="shared" si="19"/>
        <v>0</v>
      </c>
      <c r="AY128" s="79">
        <f t="shared" si="20"/>
        <v>0</v>
      </c>
      <c r="AZ128" s="79">
        <f t="shared" si="21"/>
        <v>0</v>
      </c>
      <c r="BA128" s="79">
        <f t="shared" si="22"/>
        <v>0</v>
      </c>
      <c r="BB128" s="79">
        <f t="shared" si="23"/>
        <v>0</v>
      </c>
      <c r="BC128" s="79">
        <f t="shared" si="22"/>
        <v>0</v>
      </c>
      <c r="BD128" s="79">
        <f t="shared" si="23"/>
        <v>0</v>
      </c>
      <c r="BE128" s="79">
        <f t="shared" si="24"/>
        <v>0</v>
      </c>
      <c r="BF128" s="79">
        <f t="shared" si="25"/>
        <v>0</v>
      </c>
      <c r="BG128" s="79">
        <f t="shared" si="26"/>
        <v>0</v>
      </c>
      <c r="BH128" s="79">
        <f t="shared" si="27"/>
        <v>0</v>
      </c>
      <c r="BI128" s="79">
        <f t="shared" si="28"/>
        <v>0</v>
      </c>
      <c r="BJ128" s="79">
        <f t="shared" si="29"/>
        <v>0</v>
      </c>
    </row>
    <row r="129" spans="1:62" ht="27.6" x14ac:dyDescent="0.3">
      <c r="A129" s="12">
        <f>IF(ISBLANK($C129),"",MAX($A$95:$A128)+0.01)</f>
        <v>4.1999999999999957</v>
      </c>
      <c r="B129" s="69" t="s">
        <v>151</v>
      </c>
      <c r="C129" s="70" t="s">
        <v>152</v>
      </c>
      <c r="D129" s="44" t="s">
        <v>512</v>
      </c>
      <c r="E129" s="45" t="s">
        <v>91</v>
      </c>
      <c r="F129" s="44"/>
      <c r="G129" s="45"/>
      <c r="H129" s="46" t="str">
        <f t="shared" si="59"/>
        <v/>
      </c>
      <c r="I129" s="45"/>
      <c r="J129" s="46" t="str">
        <f t="shared" si="60"/>
        <v/>
      </c>
      <c r="K129" s="45"/>
      <c r="L129" s="46" t="str">
        <f t="shared" si="61"/>
        <v/>
      </c>
      <c r="M129" s="45"/>
      <c r="N129" s="46" t="str">
        <f t="shared" si="62"/>
        <v/>
      </c>
      <c r="O129" s="44"/>
      <c r="P129" s="45"/>
      <c r="Q129" s="46" t="str">
        <f t="shared" si="63"/>
        <v/>
      </c>
      <c r="R129" s="53" t="str">
        <f t="shared" si="64"/>
        <v/>
      </c>
      <c r="S129" s="43"/>
      <c r="T129" s="43"/>
      <c r="U129" s="43"/>
      <c r="W129" s="37">
        <v>0</v>
      </c>
      <c r="X129" s="37">
        <v>0</v>
      </c>
      <c r="Y129" s="37">
        <v>0</v>
      </c>
      <c r="Z129" s="37">
        <v>0</v>
      </c>
      <c r="AA129" s="37">
        <v>0</v>
      </c>
      <c r="AB129" s="38">
        <v>0</v>
      </c>
      <c r="AC129" s="38">
        <v>0</v>
      </c>
      <c r="AD129" s="38">
        <v>0</v>
      </c>
      <c r="AE129" s="38">
        <v>0</v>
      </c>
      <c r="AF129" s="38">
        <v>0</v>
      </c>
      <c r="AG129" s="36">
        <f t="shared" si="6"/>
        <v>0</v>
      </c>
      <c r="AI129" s="56"/>
      <c r="AJ129" s="56"/>
      <c r="AK129" s="56"/>
      <c r="AL129" s="56"/>
      <c r="AM129" s="79">
        <f t="shared" si="10"/>
        <v>0</v>
      </c>
      <c r="AN129" s="79">
        <f t="shared" si="11"/>
        <v>0</v>
      </c>
      <c r="AO129" s="79">
        <f t="shared" si="12"/>
        <v>0</v>
      </c>
      <c r="AP129" s="79">
        <f t="shared" si="13"/>
        <v>0</v>
      </c>
      <c r="AQ129" s="79">
        <f t="shared" si="12"/>
        <v>0</v>
      </c>
      <c r="AR129" s="79">
        <f t="shared" si="13"/>
        <v>0</v>
      </c>
      <c r="AS129" s="79">
        <f t="shared" si="14"/>
        <v>0</v>
      </c>
      <c r="AT129" s="79">
        <f t="shared" si="15"/>
        <v>0</v>
      </c>
      <c r="AU129" s="79">
        <f t="shared" si="16"/>
        <v>0</v>
      </c>
      <c r="AV129" s="79">
        <f t="shared" si="17"/>
        <v>0</v>
      </c>
      <c r="AW129" s="79">
        <f t="shared" si="18"/>
        <v>0</v>
      </c>
      <c r="AX129" s="79">
        <f t="shared" si="19"/>
        <v>0</v>
      </c>
      <c r="AY129" s="79">
        <f t="shared" si="20"/>
        <v>0</v>
      </c>
      <c r="AZ129" s="79">
        <f t="shared" si="21"/>
        <v>0</v>
      </c>
      <c r="BA129" s="79">
        <f t="shared" si="22"/>
        <v>0</v>
      </c>
      <c r="BB129" s="79">
        <f t="shared" si="23"/>
        <v>0</v>
      </c>
      <c r="BC129" s="79">
        <f t="shared" si="22"/>
        <v>0</v>
      </c>
      <c r="BD129" s="79">
        <f t="shared" si="23"/>
        <v>0</v>
      </c>
      <c r="BE129" s="79">
        <f t="shared" si="24"/>
        <v>0</v>
      </c>
      <c r="BF129" s="79">
        <f t="shared" si="25"/>
        <v>0</v>
      </c>
      <c r="BG129" s="79">
        <f t="shared" si="26"/>
        <v>0</v>
      </c>
      <c r="BH129" s="79">
        <f t="shared" si="27"/>
        <v>0</v>
      </c>
      <c r="BI129" s="79">
        <f t="shared" si="28"/>
        <v>0</v>
      </c>
      <c r="BJ129" s="79">
        <f t="shared" si="29"/>
        <v>0</v>
      </c>
    </row>
    <row r="130" spans="1:62" ht="55.2" x14ac:dyDescent="0.3">
      <c r="A130" s="12">
        <f>IF(ISBLANK($C130),"",MAX($A$95:$A129)+0.01)</f>
        <v>4.2099999999999955</v>
      </c>
      <c r="B130" s="69" t="s">
        <v>132</v>
      </c>
      <c r="C130" s="70" t="s">
        <v>150</v>
      </c>
      <c r="D130" s="44" t="s">
        <v>73</v>
      </c>
      <c r="E130" s="45" t="s">
        <v>42</v>
      </c>
      <c r="F130" s="44" t="s">
        <v>72</v>
      </c>
      <c r="G130" s="45" t="s">
        <v>95</v>
      </c>
      <c r="H130" s="46">
        <f t="shared" si="59"/>
        <v>4</v>
      </c>
      <c r="I130" s="45" t="s">
        <v>95</v>
      </c>
      <c r="J130" s="46">
        <f t="shared" si="60"/>
        <v>4</v>
      </c>
      <c r="K130" s="45" t="s">
        <v>94</v>
      </c>
      <c r="L130" s="46">
        <f t="shared" si="61"/>
        <v>2</v>
      </c>
      <c r="M130" s="45" t="s">
        <v>94</v>
      </c>
      <c r="N130" s="46">
        <f t="shared" si="62"/>
        <v>2</v>
      </c>
      <c r="O130" s="44" t="s">
        <v>516</v>
      </c>
      <c r="P130" s="45" t="s">
        <v>95</v>
      </c>
      <c r="Q130" s="46">
        <f t="shared" si="63"/>
        <v>4</v>
      </c>
      <c r="R130" s="53" t="str">
        <f t="shared" si="64"/>
        <v>Low</v>
      </c>
      <c r="S130" s="43" t="s">
        <v>517</v>
      </c>
      <c r="T130" s="43" t="s">
        <v>554</v>
      </c>
      <c r="U130" s="43"/>
      <c r="W130" s="37">
        <v>0</v>
      </c>
      <c r="X130" s="37">
        <v>0</v>
      </c>
      <c r="Y130" s="37">
        <v>0</v>
      </c>
      <c r="Z130" s="37">
        <v>0</v>
      </c>
      <c r="AA130" s="37">
        <v>0</v>
      </c>
      <c r="AB130" s="38">
        <v>0</v>
      </c>
      <c r="AC130" s="38">
        <v>0</v>
      </c>
      <c r="AD130" s="38">
        <v>0</v>
      </c>
      <c r="AE130" s="38">
        <v>0</v>
      </c>
      <c r="AF130" s="38">
        <v>0</v>
      </c>
      <c r="AG130" s="36">
        <f t="shared" si="6"/>
        <v>0</v>
      </c>
      <c r="AI130" s="56"/>
      <c r="AJ130" s="56"/>
      <c r="AK130" s="56"/>
      <c r="AL130" s="56"/>
      <c r="AM130" s="79">
        <f t="shared" si="10"/>
        <v>4</v>
      </c>
      <c r="AN130" s="79">
        <f t="shared" si="11"/>
        <v>16</v>
      </c>
      <c r="AO130" s="79">
        <f t="shared" si="12"/>
        <v>0</v>
      </c>
      <c r="AP130" s="79">
        <f t="shared" si="13"/>
        <v>0</v>
      </c>
      <c r="AQ130" s="79">
        <f t="shared" si="12"/>
        <v>0</v>
      </c>
      <c r="AR130" s="79">
        <f t="shared" si="13"/>
        <v>0</v>
      </c>
      <c r="AS130" s="79">
        <f t="shared" si="14"/>
        <v>4</v>
      </c>
      <c r="AT130" s="79">
        <f t="shared" si="15"/>
        <v>16</v>
      </c>
      <c r="AU130" s="79">
        <f t="shared" si="16"/>
        <v>0</v>
      </c>
      <c r="AV130" s="79">
        <f t="shared" si="17"/>
        <v>0</v>
      </c>
      <c r="AW130" s="79">
        <f t="shared" si="18"/>
        <v>0</v>
      </c>
      <c r="AX130" s="79">
        <f t="shared" si="19"/>
        <v>0</v>
      </c>
      <c r="AY130" s="79">
        <f t="shared" si="20"/>
        <v>4</v>
      </c>
      <c r="AZ130" s="79">
        <f t="shared" si="21"/>
        <v>16</v>
      </c>
      <c r="BA130" s="79">
        <f t="shared" si="22"/>
        <v>0</v>
      </c>
      <c r="BB130" s="79">
        <f t="shared" si="23"/>
        <v>0</v>
      </c>
      <c r="BC130" s="79">
        <f t="shared" si="22"/>
        <v>0</v>
      </c>
      <c r="BD130" s="79">
        <f t="shared" si="23"/>
        <v>0</v>
      </c>
      <c r="BE130" s="79">
        <f t="shared" si="24"/>
        <v>4</v>
      </c>
      <c r="BF130" s="79">
        <f t="shared" si="25"/>
        <v>16</v>
      </c>
      <c r="BG130" s="79">
        <f t="shared" si="26"/>
        <v>0</v>
      </c>
      <c r="BH130" s="79">
        <f t="shared" si="27"/>
        <v>0</v>
      </c>
      <c r="BI130" s="79">
        <f t="shared" si="28"/>
        <v>0</v>
      </c>
      <c r="BJ130" s="79">
        <f t="shared" si="29"/>
        <v>0</v>
      </c>
    </row>
    <row r="131" spans="1:62" ht="41.4" x14ac:dyDescent="0.3">
      <c r="A131" s="12">
        <f>IF(ISBLANK($C131),"",MAX($A$95:$A130)+0.01)</f>
        <v>4.2199999999999953</v>
      </c>
      <c r="B131" s="69" t="s">
        <v>19</v>
      </c>
      <c r="C131" s="70" t="s">
        <v>176</v>
      </c>
      <c r="D131" s="44" t="s">
        <v>512</v>
      </c>
      <c r="E131" s="45" t="s">
        <v>91</v>
      </c>
      <c r="F131" s="44"/>
      <c r="G131" s="45"/>
      <c r="H131" s="46" t="str">
        <f t="shared" si="59"/>
        <v/>
      </c>
      <c r="I131" s="45"/>
      <c r="J131" s="46" t="str">
        <f t="shared" si="60"/>
        <v/>
      </c>
      <c r="K131" s="45"/>
      <c r="L131" s="46" t="str">
        <f t="shared" si="61"/>
        <v/>
      </c>
      <c r="M131" s="45"/>
      <c r="N131" s="46" t="str">
        <f t="shared" si="62"/>
        <v/>
      </c>
      <c r="O131" s="44"/>
      <c r="P131" s="45"/>
      <c r="Q131" s="46" t="str">
        <f t="shared" si="63"/>
        <v/>
      </c>
      <c r="R131" s="53" t="str">
        <f t="shared" si="64"/>
        <v/>
      </c>
      <c r="S131" s="43"/>
      <c r="T131" s="43"/>
      <c r="U131" s="43"/>
      <c r="W131" s="37">
        <v>0</v>
      </c>
      <c r="X131" s="37">
        <v>0</v>
      </c>
      <c r="Y131" s="37">
        <v>0</v>
      </c>
      <c r="Z131" s="37">
        <v>0</v>
      </c>
      <c r="AA131" s="37">
        <v>0</v>
      </c>
      <c r="AB131" s="38">
        <v>0</v>
      </c>
      <c r="AC131" s="38">
        <v>0</v>
      </c>
      <c r="AD131" s="38">
        <v>0</v>
      </c>
      <c r="AE131" s="38">
        <v>0</v>
      </c>
      <c r="AF131" s="38">
        <v>0</v>
      </c>
      <c r="AG131" s="36">
        <f t="shared" si="6"/>
        <v>0</v>
      </c>
      <c r="AI131" s="56"/>
      <c r="AJ131" s="56"/>
      <c r="AK131" s="56"/>
      <c r="AL131" s="56"/>
      <c r="AM131" s="79">
        <f t="shared" si="10"/>
        <v>0</v>
      </c>
      <c r="AN131" s="79">
        <f t="shared" si="11"/>
        <v>0</v>
      </c>
      <c r="AO131" s="79">
        <f t="shared" si="12"/>
        <v>0</v>
      </c>
      <c r="AP131" s="79">
        <f t="shared" si="13"/>
        <v>0</v>
      </c>
      <c r="AQ131" s="79">
        <f t="shared" si="12"/>
        <v>0</v>
      </c>
      <c r="AR131" s="79">
        <f t="shared" si="13"/>
        <v>0</v>
      </c>
      <c r="AS131" s="79">
        <f t="shared" si="14"/>
        <v>0</v>
      </c>
      <c r="AT131" s="79">
        <f t="shared" si="15"/>
        <v>0</v>
      </c>
      <c r="AU131" s="79">
        <f t="shared" si="16"/>
        <v>0</v>
      </c>
      <c r="AV131" s="79">
        <f t="shared" si="17"/>
        <v>0</v>
      </c>
      <c r="AW131" s="79">
        <f t="shared" si="18"/>
        <v>0</v>
      </c>
      <c r="AX131" s="79">
        <f t="shared" si="19"/>
        <v>0</v>
      </c>
      <c r="AY131" s="79">
        <f t="shared" si="20"/>
        <v>0</v>
      </c>
      <c r="AZ131" s="79">
        <f t="shared" si="21"/>
        <v>0</v>
      </c>
      <c r="BA131" s="79">
        <f t="shared" si="22"/>
        <v>0</v>
      </c>
      <c r="BB131" s="79">
        <f t="shared" si="23"/>
        <v>0</v>
      </c>
      <c r="BC131" s="79">
        <f t="shared" si="22"/>
        <v>0</v>
      </c>
      <c r="BD131" s="79">
        <f t="shared" si="23"/>
        <v>0</v>
      </c>
      <c r="BE131" s="79">
        <f t="shared" si="24"/>
        <v>0</v>
      </c>
      <c r="BF131" s="79">
        <f t="shared" si="25"/>
        <v>0</v>
      </c>
      <c r="BG131" s="79">
        <f t="shared" si="26"/>
        <v>0</v>
      </c>
      <c r="BH131" s="79">
        <f t="shared" si="27"/>
        <v>0</v>
      </c>
      <c r="BI131" s="79">
        <f t="shared" si="28"/>
        <v>0</v>
      </c>
      <c r="BJ131" s="79">
        <f t="shared" si="29"/>
        <v>0</v>
      </c>
    </row>
    <row r="132" spans="1:62" ht="41.4" x14ac:dyDescent="0.3">
      <c r="A132" s="12">
        <f>IF(ISBLANK($C132),"",MAX($A$95:$A131)+0.01)</f>
        <v>4.2299999999999951</v>
      </c>
      <c r="B132" s="69" t="s">
        <v>68</v>
      </c>
      <c r="C132" s="70" t="s">
        <v>146</v>
      </c>
      <c r="D132" s="44" t="s">
        <v>512</v>
      </c>
      <c r="E132" s="45" t="s">
        <v>91</v>
      </c>
      <c r="F132" s="44"/>
      <c r="G132" s="45"/>
      <c r="H132" s="46" t="str">
        <f t="shared" si="59"/>
        <v/>
      </c>
      <c r="I132" s="45"/>
      <c r="J132" s="46" t="str">
        <f t="shared" si="60"/>
        <v/>
      </c>
      <c r="K132" s="45"/>
      <c r="L132" s="46" t="str">
        <f t="shared" si="61"/>
        <v/>
      </c>
      <c r="M132" s="45"/>
      <c r="N132" s="46" t="str">
        <f t="shared" si="62"/>
        <v/>
      </c>
      <c r="O132" s="44"/>
      <c r="P132" s="45"/>
      <c r="Q132" s="46" t="str">
        <f t="shared" si="63"/>
        <v/>
      </c>
      <c r="R132" s="53" t="str">
        <f t="shared" si="64"/>
        <v/>
      </c>
      <c r="S132" s="43"/>
      <c r="T132" s="43"/>
      <c r="U132" s="43"/>
      <c r="W132" s="37">
        <v>0</v>
      </c>
      <c r="X132" s="37">
        <v>0</v>
      </c>
      <c r="Y132" s="37">
        <v>0</v>
      </c>
      <c r="Z132" s="37">
        <v>0</v>
      </c>
      <c r="AA132" s="37">
        <v>0</v>
      </c>
      <c r="AB132" s="38">
        <v>0</v>
      </c>
      <c r="AC132" s="38">
        <v>0</v>
      </c>
      <c r="AD132" s="38">
        <v>0</v>
      </c>
      <c r="AE132" s="38">
        <v>0</v>
      </c>
      <c r="AF132" s="38">
        <v>0</v>
      </c>
      <c r="AG132" s="36">
        <f t="shared" si="6"/>
        <v>0</v>
      </c>
      <c r="AI132" s="56"/>
      <c r="AJ132" s="56"/>
      <c r="AK132" s="56"/>
      <c r="AL132" s="56"/>
      <c r="AM132" s="79">
        <f t="shared" si="10"/>
        <v>0</v>
      </c>
      <c r="AN132" s="79">
        <f t="shared" si="11"/>
        <v>0</v>
      </c>
      <c r="AO132" s="79">
        <f t="shared" si="12"/>
        <v>0</v>
      </c>
      <c r="AP132" s="79">
        <f t="shared" si="13"/>
        <v>0</v>
      </c>
      <c r="AQ132" s="79">
        <f t="shared" si="12"/>
        <v>0</v>
      </c>
      <c r="AR132" s="79">
        <f t="shared" si="13"/>
        <v>0</v>
      </c>
      <c r="AS132" s="79">
        <f t="shared" si="14"/>
        <v>0</v>
      </c>
      <c r="AT132" s="79">
        <f t="shared" si="15"/>
        <v>0</v>
      </c>
      <c r="AU132" s="79">
        <f t="shared" si="16"/>
        <v>0</v>
      </c>
      <c r="AV132" s="79">
        <f t="shared" si="17"/>
        <v>0</v>
      </c>
      <c r="AW132" s="79">
        <f t="shared" si="18"/>
        <v>0</v>
      </c>
      <c r="AX132" s="79">
        <f t="shared" si="19"/>
        <v>0</v>
      </c>
      <c r="AY132" s="79">
        <f t="shared" si="20"/>
        <v>0</v>
      </c>
      <c r="AZ132" s="79">
        <f t="shared" si="21"/>
        <v>0</v>
      </c>
      <c r="BA132" s="79">
        <f t="shared" si="22"/>
        <v>0</v>
      </c>
      <c r="BB132" s="79">
        <f t="shared" si="23"/>
        <v>0</v>
      </c>
      <c r="BC132" s="79">
        <f t="shared" si="22"/>
        <v>0</v>
      </c>
      <c r="BD132" s="79">
        <f t="shared" si="23"/>
        <v>0</v>
      </c>
      <c r="BE132" s="79">
        <f t="shared" si="24"/>
        <v>0</v>
      </c>
      <c r="BF132" s="79">
        <f t="shared" si="25"/>
        <v>0</v>
      </c>
      <c r="BG132" s="79">
        <f t="shared" si="26"/>
        <v>0</v>
      </c>
      <c r="BH132" s="79">
        <f t="shared" si="27"/>
        <v>0</v>
      </c>
      <c r="BI132" s="79">
        <f t="shared" si="28"/>
        <v>0</v>
      </c>
      <c r="BJ132" s="79">
        <f t="shared" si="29"/>
        <v>0</v>
      </c>
    </row>
    <row r="133" spans="1:62" ht="69" x14ac:dyDescent="0.3">
      <c r="A133" s="12">
        <f>IF(ISBLANK($C133),"",MAX($A$95:$A132)+0.01)</f>
        <v>4.2399999999999949</v>
      </c>
      <c r="B133" s="69" t="s">
        <v>650</v>
      </c>
      <c r="C133" s="70" t="s">
        <v>651</v>
      </c>
      <c r="D133" s="44" t="s">
        <v>654</v>
      </c>
      <c r="E133" s="45" t="s">
        <v>43</v>
      </c>
      <c r="F133" s="44" t="s">
        <v>655</v>
      </c>
      <c r="G133" s="45" t="s">
        <v>94</v>
      </c>
      <c r="H133" s="46">
        <f t="shared" si="59"/>
        <v>1</v>
      </c>
      <c r="I133" s="45"/>
      <c r="J133" s="46" t="str">
        <f t="shared" si="60"/>
        <v/>
      </c>
      <c r="K133" s="45" t="s">
        <v>94</v>
      </c>
      <c r="L133" s="46">
        <f t="shared" si="61"/>
        <v>1</v>
      </c>
      <c r="M133" s="45"/>
      <c r="N133" s="46" t="str">
        <f t="shared" si="62"/>
        <v/>
      </c>
      <c r="O133" s="44"/>
      <c r="P133" s="45"/>
      <c r="Q133" s="46" t="str">
        <f t="shared" si="63"/>
        <v/>
      </c>
      <c r="R133" s="53" t="str">
        <f t="shared" si="64"/>
        <v/>
      </c>
      <c r="S133" s="43"/>
      <c r="T133" s="43" t="s">
        <v>174</v>
      </c>
      <c r="U133" s="43" t="s">
        <v>476</v>
      </c>
      <c r="W133" s="37">
        <v>0</v>
      </c>
      <c r="X133" s="37">
        <v>0</v>
      </c>
      <c r="Y133" s="37">
        <v>0</v>
      </c>
      <c r="Z133" s="37">
        <v>0</v>
      </c>
      <c r="AA133" s="37">
        <v>0</v>
      </c>
      <c r="AB133" s="38">
        <v>0</v>
      </c>
      <c r="AC133" s="38">
        <v>0</v>
      </c>
      <c r="AD133" s="38">
        <v>0</v>
      </c>
      <c r="AE133" s="38">
        <v>0</v>
      </c>
      <c r="AF133" s="38">
        <v>0</v>
      </c>
      <c r="AG133" s="36">
        <f t="shared" ref="AG133" si="67">IF($AG$100=5,SUM(AB133:AF133),IF($AG$100=4,SUM(AB133:AE133),IF($AG$100=3,SUM(AB133:AD133),IF($AG$100=2,SUM(AB133:AC133),AB133))))/$AG$100</f>
        <v>0</v>
      </c>
      <c r="AI133" s="56"/>
      <c r="AJ133" s="56"/>
      <c r="AK133" s="56"/>
      <c r="AL133" s="56"/>
      <c r="AM133" s="79">
        <f t="shared" si="10"/>
        <v>0</v>
      </c>
      <c r="AN133" s="79">
        <f t="shared" ref="AN133" si="68">IF(AM133&gt;0,16,0)</f>
        <v>0</v>
      </c>
      <c r="AO133" s="79">
        <f t="shared" si="12"/>
        <v>0</v>
      </c>
      <c r="AP133" s="79">
        <f t="shared" ref="AP133" si="69">IF(AO133&gt;0,16,0)</f>
        <v>0</v>
      </c>
      <c r="AQ133" s="79">
        <f t="shared" si="12"/>
        <v>0</v>
      </c>
      <c r="AR133" s="79">
        <f t="shared" ref="AR133" si="70">IF(AQ133&gt;0,16,0)</f>
        <v>0</v>
      </c>
      <c r="AS133" s="79">
        <f t="shared" si="14"/>
        <v>0</v>
      </c>
      <c r="AT133" s="79">
        <f t="shared" ref="AT133" si="71">IF(AS133&gt;0,16,0)</f>
        <v>0</v>
      </c>
      <c r="AU133" s="79">
        <f t="shared" si="16"/>
        <v>1</v>
      </c>
      <c r="AV133" s="79">
        <f t="shared" ref="AV133" si="72">IF(AU133&gt;0,16,0)</f>
        <v>16</v>
      </c>
      <c r="AW133" s="79">
        <f t="shared" si="18"/>
        <v>1</v>
      </c>
      <c r="AX133" s="79">
        <f t="shared" ref="AX133" si="73">IF(AW133&gt;0,16,0)</f>
        <v>16</v>
      </c>
      <c r="AY133" s="79">
        <f t="shared" si="20"/>
        <v>0</v>
      </c>
      <c r="AZ133" s="79">
        <f t="shared" ref="AZ133" si="74">IF(AY133&gt;0,16,0)</f>
        <v>0</v>
      </c>
      <c r="BA133" s="79">
        <f t="shared" si="22"/>
        <v>0</v>
      </c>
      <c r="BB133" s="79">
        <f t="shared" ref="BB133" si="75">IF(BA133&gt;0,16,0)</f>
        <v>0</v>
      </c>
      <c r="BC133" s="79">
        <f t="shared" si="22"/>
        <v>0</v>
      </c>
      <c r="BD133" s="79">
        <f t="shared" ref="BD133" si="76">IF(BC133&gt;0,16,0)</f>
        <v>0</v>
      </c>
      <c r="BE133" s="79">
        <f t="shared" si="24"/>
        <v>0</v>
      </c>
      <c r="BF133" s="79">
        <f t="shared" ref="BF133" si="77">IF(BE133&gt;0,16,0)</f>
        <v>0</v>
      </c>
      <c r="BG133" s="79">
        <f t="shared" si="26"/>
        <v>0</v>
      </c>
      <c r="BH133" s="79">
        <f t="shared" ref="BH133" si="78">IF(BG133&gt;0,16,0)</f>
        <v>0</v>
      </c>
      <c r="BI133" s="79">
        <f t="shared" si="28"/>
        <v>0</v>
      </c>
      <c r="BJ133" s="79">
        <f t="shared" ref="BJ133" si="79">IF(BI133&gt;0,16,0)</f>
        <v>0</v>
      </c>
    </row>
    <row r="134" spans="1:62" ht="69" x14ac:dyDescent="0.3">
      <c r="A134" s="12">
        <f>IF(ISBLANK($C134),"",MAX($A$95:$A133)+0.01)</f>
        <v>4.2499999999999947</v>
      </c>
      <c r="B134" s="69" t="s">
        <v>653</v>
      </c>
      <c r="C134" s="70" t="s">
        <v>652</v>
      </c>
      <c r="D134" s="44" t="s">
        <v>656</v>
      </c>
      <c r="E134" s="45" t="s">
        <v>91</v>
      </c>
      <c r="F134" s="44"/>
      <c r="G134" s="45"/>
      <c r="H134" s="46" t="str">
        <f t="shared" si="59"/>
        <v/>
      </c>
      <c r="I134" s="45"/>
      <c r="J134" s="46" t="str">
        <f t="shared" si="60"/>
        <v/>
      </c>
      <c r="K134" s="45"/>
      <c r="L134" s="46" t="str">
        <f t="shared" si="61"/>
        <v/>
      </c>
      <c r="M134" s="45"/>
      <c r="N134" s="46" t="str">
        <f t="shared" si="62"/>
        <v/>
      </c>
      <c r="O134" s="44"/>
      <c r="P134" s="45"/>
      <c r="Q134" s="46" t="str">
        <f t="shared" si="63"/>
        <v/>
      </c>
      <c r="R134" s="53" t="str">
        <f t="shared" si="64"/>
        <v/>
      </c>
      <c r="S134" s="43"/>
      <c r="T134" s="43"/>
      <c r="U134" s="43"/>
      <c r="W134" s="37">
        <v>0</v>
      </c>
      <c r="X134" s="37">
        <v>0</v>
      </c>
      <c r="Y134" s="37">
        <v>0</v>
      </c>
      <c r="Z134" s="37">
        <v>0</v>
      </c>
      <c r="AA134" s="37">
        <v>0</v>
      </c>
      <c r="AB134" s="38">
        <v>0</v>
      </c>
      <c r="AC134" s="38">
        <v>0</v>
      </c>
      <c r="AD134" s="38">
        <v>0</v>
      </c>
      <c r="AE134" s="38">
        <v>0</v>
      </c>
      <c r="AF134" s="38">
        <v>0</v>
      </c>
      <c r="AG134" s="36">
        <f t="shared" si="6"/>
        <v>0</v>
      </c>
      <c r="AI134" s="56"/>
      <c r="AJ134" s="56"/>
      <c r="AK134" s="56"/>
      <c r="AL134" s="56"/>
      <c r="AM134" s="79">
        <f t="shared" si="10"/>
        <v>0</v>
      </c>
      <c r="AN134" s="79">
        <f t="shared" si="11"/>
        <v>0</v>
      </c>
      <c r="AO134" s="79">
        <f t="shared" si="12"/>
        <v>0</v>
      </c>
      <c r="AP134" s="79">
        <f t="shared" si="13"/>
        <v>0</v>
      </c>
      <c r="AQ134" s="79">
        <f t="shared" si="12"/>
        <v>0</v>
      </c>
      <c r="AR134" s="79">
        <f t="shared" si="13"/>
        <v>0</v>
      </c>
      <c r="AS134" s="79">
        <f t="shared" si="14"/>
        <v>0</v>
      </c>
      <c r="AT134" s="79">
        <f t="shared" si="15"/>
        <v>0</v>
      </c>
      <c r="AU134" s="79">
        <f t="shared" si="16"/>
        <v>0</v>
      </c>
      <c r="AV134" s="79">
        <f t="shared" si="17"/>
        <v>0</v>
      </c>
      <c r="AW134" s="79">
        <f t="shared" si="18"/>
        <v>0</v>
      </c>
      <c r="AX134" s="79">
        <f t="shared" si="19"/>
        <v>0</v>
      </c>
      <c r="AY134" s="79">
        <f t="shared" si="20"/>
        <v>0</v>
      </c>
      <c r="AZ134" s="79">
        <f t="shared" si="21"/>
        <v>0</v>
      </c>
      <c r="BA134" s="79">
        <f t="shared" si="22"/>
        <v>0</v>
      </c>
      <c r="BB134" s="79">
        <f t="shared" si="23"/>
        <v>0</v>
      </c>
      <c r="BC134" s="79">
        <f t="shared" si="22"/>
        <v>0</v>
      </c>
      <c r="BD134" s="79">
        <f t="shared" si="23"/>
        <v>0</v>
      </c>
      <c r="BE134" s="79">
        <f t="shared" si="24"/>
        <v>0</v>
      </c>
      <c r="BF134" s="79">
        <f t="shared" si="25"/>
        <v>0</v>
      </c>
      <c r="BG134" s="79">
        <f t="shared" si="26"/>
        <v>0</v>
      </c>
      <c r="BH134" s="79">
        <f t="shared" si="27"/>
        <v>0</v>
      </c>
      <c r="BI134" s="79">
        <f t="shared" si="28"/>
        <v>0</v>
      </c>
      <c r="BJ134" s="79">
        <f t="shared" si="29"/>
        <v>0</v>
      </c>
    </row>
    <row r="135" spans="1:62" ht="82.8" x14ac:dyDescent="0.3">
      <c r="A135" s="12">
        <f>IF(ISBLANK($C135),"",MAX($A$95:$A134)+0.01)</f>
        <v>4.2599999999999945</v>
      </c>
      <c r="B135" s="69" t="s">
        <v>650</v>
      </c>
      <c r="C135" s="70" t="s">
        <v>649</v>
      </c>
      <c r="D135" s="44" t="s">
        <v>657</v>
      </c>
      <c r="E135" s="45" t="s">
        <v>42</v>
      </c>
      <c r="F135" s="44" t="s">
        <v>655</v>
      </c>
      <c r="G135" s="45" t="s">
        <v>94</v>
      </c>
      <c r="H135" s="46">
        <f t="shared" si="59"/>
        <v>2</v>
      </c>
      <c r="I135" s="45"/>
      <c r="J135" s="46" t="str">
        <f t="shared" si="60"/>
        <v/>
      </c>
      <c r="K135" s="45" t="s">
        <v>94</v>
      </c>
      <c r="L135" s="46">
        <f t="shared" si="61"/>
        <v>2</v>
      </c>
      <c r="M135" s="45"/>
      <c r="N135" s="46" t="str">
        <f t="shared" si="62"/>
        <v/>
      </c>
      <c r="O135" s="44"/>
      <c r="P135" s="45"/>
      <c r="Q135" s="46" t="str">
        <f t="shared" si="63"/>
        <v/>
      </c>
      <c r="R135" s="53" t="str">
        <f t="shared" si="64"/>
        <v/>
      </c>
      <c r="S135" s="43"/>
      <c r="T135" s="43" t="s">
        <v>174</v>
      </c>
      <c r="U135" s="43" t="s">
        <v>476</v>
      </c>
      <c r="W135" s="37">
        <v>0</v>
      </c>
      <c r="X135" s="37">
        <v>0</v>
      </c>
      <c r="Y135" s="37">
        <v>0</v>
      </c>
      <c r="Z135" s="37">
        <v>0</v>
      </c>
      <c r="AA135" s="37">
        <v>0</v>
      </c>
      <c r="AB135" s="38">
        <v>0</v>
      </c>
      <c r="AC135" s="38">
        <v>0</v>
      </c>
      <c r="AD135" s="38">
        <v>0</v>
      </c>
      <c r="AE135" s="38">
        <v>0</v>
      </c>
      <c r="AF135" s="38">
        <v>0</v>
      </c>
      <c r="AG135" s="36">
        <f t="shared" ref="AG135" si="80">IF($AG$100=5,SUM(AB135:AF135),IF($AG$100=4,SUM(AB135:AE135),IF($AG$100=3,SUM(AB135:AD135),IF($AG$100=2,SUM(AB135:AC135),AB135))))/$AG$100</f>
        <v>0</v>
      </c>
      <c r="AI135" s="56"/>
      <c r="AJ135" s="56"/>
      <c r="AK135" s="56"/>
      <c r="AL135" s="56"/>
      <c r="AM135" s="79">
        <f t="shared" si="10"/>
        <v>0</v>
      </c>
      <c r="AN135" s="79">
        <f t="shared" ref="AN135" si="81">IF(AM135&gt;0,16,0)</f>
        <v>0</v>
      </c>
      <c r="AO135" s="79">
        <f t="shared" si="12"/>
        <v>0</v>
      </c>
      <c r="AP135" s="79">
        <f t="shared" ref="AP135" si="82">IF(AO135&gt;0,16,0)</f>
        <v>0</v>
      </c>
      <c r="AQ135" s="79">
        <f t="shared" si="12"/>
        <v>0</v>
      </c>
      <c r="AR135" s="79">
        <f t="shared" ref="AR135" si="83">IF(AQ135&gt;0,16,0)</f>
        <v>0</v>
      </c>
      <c r="AS135" s="79">
        <f t="shared" si="14"/>
        <v>0</v>
      </c>
      <c r="AT135" s="79">
        <f t="shared" ref="AT135" si="84">IF(AS135&gt;0,16,0)</f>
        <v>0</v>
      </c>
      <c r="AU135" s="79">
        <f t="shared" si="16"/>
        <v>2</v>
      </c>
      <c r="AV135" s="79">
        <f t="shared" ref="AV135" si="85">IF(AU135&gt;0,16,0)</f>
        <v>16</v>
      </c>
      <c r="AW135" s="79">
        <f t="shared" si="18"/>
        <v>2</v>
      </c>
      <c r="AX135" s="79">
        <f t="shared" ref="AX135" si="86">IF(AW135&gt;0,16,0)</f>
        <v>16</v>
      </c>
      <c r="AY135" s="79">
        <f t="shared" si="20"/>
        <v>0</v>
      </c>
      <c r="AZ135" s="79">
        <f t="shared" ref="AZ135" si="87">IF(AY135&gt;0,16,0)</f>
        <v>0</v>
      </c>
      <c r="BA135" s="79">
        <f t="shared" si="22"/>
        <v>0</v>
      </c>
      <c r="BB135" s="79">
        <f t="shared" ref="BB135" si="88">IF(BA135&gt;0,16,0)</f>
        <v>0</v>
      </c>
      <c r="BC135" s="79">
        <f t="shared" si="22"/>
        <v>0</v>
      </c>
      <c r="BD135" s="79">
        <f t="shared" ref="BD135" si="89">IF(BC135&gt;0,16,0)</f>
        <v>0</v>
      </c>
      <c r="BE135" s="79">
        <f t="shared" si="24"/>
        <v>0</v>
      </c>
      <c r="BF135" s="79">
        <f t="shared" ref="BF135" si="90">IF(BE135&gt;0,16,0)</f>
        <v>0</v>
      </c>
      <c r="BG135" s="79">
        <f t="shared" si="26"/>
        <v>0</v>
      </c>
      <c r="BH135" s="79">
        <f t="shared" ref="BH135" si="91">IF(BG135&gt;0,16,0)</f>
        <v>0</v>
      </c>
      <c r="BI135" s="79">
        <f t="shared" si="28"/>
        <v>0</v>
      </c>
      <c r="BJ135" s="79">
        <f t="shared" ref="BJ135" si="92">IF(BI135&gt;0,16,0)</f>
        <v>0</v>
      </c>
    </row>
    <row r="136" spans="1:62" ht="69" x14ac:dyDescent="0.3">
      <c r="A136" s="12">
        <f>IF(ISBLANK($C136),"",MAX($A$95:$A135)+0.01)</f>
        <v>4.2699999999999942</v>
      </c>
      <c r="B136" s="69" t="s">
        <v>68</v>
      </c>
      <c r="C136" s="70" t="s">
        <v>520</v>
      </c>
      <c r="D136" s="44" t="s">
        <v>519</v>
      </c>
      <c r="E136" s="45" t="s">
        <v>44</v>
      </c>
      <c r="F136" s="44" t="s">
        <v>523</v>
      </c>
      <c r="G136" s="45" t="s">
        <v>94</v>
      </c>
      <c r="H136" s="46">
        <f t="shared" si="59"/>
        <v>3</v>
      </c>
      <c r="I136" s="45" t="s">
        <v>94</v>
      </c>
      <c r="J136" s="46">
        <f t="shared" si="60"/>
        <v>3</v>
      </c>
      <c r="K136" s="45" t="s">
        <v>91</v>
      </c>
      <c r="L136" s="46">
        <f t="shared" si="61"/>
        <v>0</v>
      </c>
      <c r="M136" s="45" t="s">
        <v>91</v>
      </c>
      <c r="N136" s="46">
        <f t="shared" si="62"/>
        <v>0</v>
      </c>
      <c r="O136" s="44"/>
      <c r="P136" s="45"/>
      <c r="Q136" s="46" t="str">
        <f t="shared" si="63"/>
        <v/>
      </c>
      <c r="R136" s="53" t="str">
        <f t="shared" si="64"/>
        <v/>
      </c>
      <c r="S136" s="43" t="s">
        <v>524</v>
      </c>
      <c r="T136" s="43" t="s">
        <v>174</v>
      </c>
      <c r="U136" s="43" t="s">
        <v>476</v>
      </c>
      <c r="W136" s="37">
        <v>0</v>
      </c>
      <c r="X136" s="37">
        <v>0</v>
      </c>
      <c r="Y136" s="37">
        <v>0</v>
      </c>
      <c r="Z136" s="37">
        <v>0</v>
      </c>
      <c r="AA136" s="37">
        <v>0</v>
      </c>
      <c r="AB136" s="38">
        <v>0</v>
      </c>
      <c r="AC136" s="38">
        <v>0</v>
      </c>
      <c r="AD136" s="38">
        <v>0</v>
      </c>
      <c r="AE136" s="38">
        <v>0</v>
      </c>
      <c r="AF136" s="38">
        <v>0</v>
      </c>
      <c r="AG136" s="36">
        <f t="shared" si="6"/>
        <v>0</v>
      </c>
      <c r="AI136" s="56"/>
      <c r="AJ136" s="56"/>
      <c r="AK136" s="56"/>
      <c r="AL136" s="56"/>
      <c r="AM136" s="79">
        <f t="shared" si="10"/>
        <v>0</v>
      </c>
      <c r="AN136" s="79">
        <f t="shared" si="11"/>
        <v>0</v>
      </c>
      <c r="AO136" s="79">
        <f t="shared" si="12"/>
        <v>0</v>
      </c>
      <c r="AP136" s="79">
        <f t="shared" si="13"/>
        <v>0</v>
      </c>
      <c r="AQ136" s="79">
        <f t="shared" si="12"/>
        <v>0</v>
      </c>
      <c r="AR136" s="79">
        <f t="shared" si="13"/>
        <v>0</v>
      </c>
      <c r="AS136" s="79">
        <f t="shared" si="14"/>
        <v>0</v>
      </c>
      <c r="AT136" s="79">
        <f t="shared" si="15"/>
        <v>0</v>
      </c>
      <c r="AU136" s="79">
        <f t="shared" si="16"/>
        <v>3</v>
      </c>
      <c r="AV136" s="79">
        <f t="shared" si="17"/>
        <v>16</v>
      </c>
      <c r="AW136" s="79">
        <f t="shared" si="18"/>
        <v>0</v>
      </c>
      <c r="AX136" s="79">
        <f t="shared" si="19"/>
        <v>0</v>
      </c>
      <c r="AY136" s="79">
        <f t="shared" si="20"/>
        <v>0</v>
      </c>
      <c r="AZ136" s="79">
        <f t="shared" si="21"/>
        <v>0</v>
      </c>
      <c r="BA136" s="79">
        <f t="shared" si="22"/>
        <v>0</v>
      </c>
      <c r="BB136" s="79">
        <f t="shared" si="23"/>
        <v>0</v>
      </c>
      <c r="BC136" s="79">
        <f t="shared" si="22"/>
        <v>0</v>
      </c>
      <c r="BD136" s="79">
        <f t="shared" si="23"/>
        <v>0</v>
      </c>
      <c r="BE136" s="79">
        <f t="shared" si="24"/>
        <v>0</v>
      </c>
      <c r="BF136" s="79">
        <f t="shared" si="25"/>
        <v>0</v>
      </c>
      <c r="BG136" s="79">
        <f t="shared" si="26"/>
        <v>3</v>
      </c>
      <c r="BH136" s="79">
        <f t="shared" si="27"/>
        <v>16</v>
      </c>
      <c r="BI136" s="79">
        <f t="shared" si="28"/>
        <v>0</v>
      </c>
      <c r="BJ136" s="79">
        <f t="shared" si="29"/>
        <v>0</v>
      </c>
    </row>
    <row r="137" spans="1:62" ht="82.8" x14ac:dyDescent="0.3">
      <c r="A137" s="12">
        <f>IF(ISBLANK($C137),"",MAX($A$95:$A136)+0.01)</f>
        <v>4.279999999999994</v>
      </c>
      <c r="B137" s="69" t="s">
        <v>68</v>
      </c>
      <c r="C137" s="70" t="s">
        <v>521</v>
      </c>
      <c r="D137" s="44" t="s">
        <v>522</v>
      </c>
      <c r="E137" s="45" t="s">
        <v>42</v>
      </c>
      <c r="F137" s="44" t="s">
        <v>518</v>
      </c>
      <c r="G137" s="45" t="s">
        <v>94</v>
      </c>
      <c r="H137" s="46">
        <f t="shared" si="59"/>
        <v>2</v>
      </c>
      <c r="I137" s="45" t="s">
        <v>94</v>
      </c>
      <c r="J137" s="46">
        <f t="shared" si="60"/>
        <v>2</v>
      </c>
      <c r="K137" s="45" t="s">
        <v>91</v>
      </c>
      <c r="L137" s="46">
        <f t="shared" si="61"/>
        <v>0</v>
      </c>
      <c r="M137" s="45" t="s">
        <v>91</v>
      </c>
      <c r="N137" s="46">
        <f t="shared" si="62"/>
        <v>0</v>
      </c>
      <c r="O137" s="44"/>
      <c r="P137" s="45"/>
      <c r="Q137" s="46" t="str">
        <f t="shared" si="63"/>
        <v/>
      </c>
      <c r="R137" s="53" t="str">
        <f t="shared" si="64"/>
        <v/>
      </c>
      <c r="S137" s="43" t="s">
        <v>524</v>
      </c>
      <c r="T137" s="43" t="s">
        <v>174</v>
      </c>
      <c r="U137" s="43" t="s">
        <v>476</v>
      </c>
      <c r="W137" s="37">
        <v>0</v>
      </c>
      <c r="X137" s="37">
        <v>0</v>
      </c>
      <c r="Y137" s="37">
        <v>0</v>
      </c>
      <c r="Z137" s="37">
        <v>0</v>
      </c>
      <c r="AA137" s="37">
        <v>0</v>
      </c>
      <c r="AB137" s="38">
        <v>0</v>
      </c>
      <c r="AC137" s="38">
        <v>0</v>
      </c>
      <c r="AD137" s="38">
        <v>0</v>
      </c>
      <c r="AE137" s="38">
        <v>0</v>
      </c>
      <c r="AF137" s="38">
        <v>0</v>
      </c>
      <c r="AG137" s="36">
        <f t="shared" ref="AG137" si="93">IF($AG$100=5,SUM(AB137:AF137),IF($AG$100=4,SUM(AB137:AE137),IF($AG$100=3,SUM(AB137:AD137),IF($AG$100=2,SUM(AB137:AC137),AB137))))/$AG$100</f>
        <v>0</v>
      </c>
      <c r="AI137" s="56"/>
      <c r="AJ137" s="56"/>
      <c r="AK137" s="56"/>
      <c r="AL137" s="56"/>
      <c r="AM137" s="79">
        <f t="shared" si="10"/>
        <v>0</v>
      </c>
      <c r="AN137" s="79">
        <f t="shared" si="11"/>
        <v>0</v>
      </c>
      <c r="AO137" s="79">
        <f t="shared" si="12"/>
        <v>0</v>
      </c>
      <c r="AP137" s="79">
        <f t="shared" si="13"/>
        <v>0</v>
      </c>
      <c r="AQ137" s="79">
        <f t="shared" si="12"/>
        <v>0</v>
      </c>
      <c r="AR137" s="79">
        <f t="shared" si="13"/>
        <v>0</v>
      </c>
      <c r="AS137" s="79">
        <f t="shared" si="14"/>
        <v>0</v>
      </c>
      <c r="AT137" s="79">
        <f t="shared" si="15"/>
        <v>0</v>
      </c>
      <c r="AU137" s="79">
        <f t="shared" si="16"/>
        <v>2</v>
      </c>
      <c r="AV137" s="79">
        <f t="shared" si="17"/>
        <v>16</v>
      </c>
      <c r="AW137" s="79">
        <f t="shared" si="18"/>
        <v>0</v>
      </c>
      <c r="AX137" s="79">
        <f t="shared" si="19"/>
        <v>0</v>
      </c>
      <c r="AY137" s="79">
        <f t="shared" si="20"/>
        <v>0</v>
      </c>
      <c r="AZ137" s="79">
        <f t="shared" si="21"/>
        <v>0</v>
      </c>
      <c r="BA137" s="79">
        <f t="shared" si="22"/>
        <v>0</v>
      </c>
      <c r="BB137" s="79">
        <f t="shared" si="23"/>
        <v>0</v>
      </c>
      <c r="BC137" s="79">
        <f t="shared" si="22"/>
        <v>0</v>
      </c>
      <c r="BD137" s="79">
        <f t="shared" si="23"/>
        <v>0</v>
      </c>
      <c r="BE137" s="79">
        <f t="shared" si="24"/>
        <v>0</v>
      </c>
      <c r="BF137" s="79">
        <f t="shared" si="25"/>
        <v>0</v>
      </c>
      <c r="BG137" s="79">
        <f t="shared" si="26"/>
        <v>2</v>
      </c>
      <c r="BH137" s="79">
        <f t="shared" si="27"/>
        <v>16</v>
      </c>
      <c r="BI137" s="79">
        <f t="shared" si="28"/>
        <v>0</v>
      </c>
      <c r="BJ137" s="79">
        <f t="shared" si="29"/>
        <v>0</v>
      </c>
    </row>
    <row r="138" spans="1:62" x14ac:dyDescent="0.3">
      <c r="A138" s="12" t="str">
        <f>IF(ISBLANK($C138),"",MAX($A$95:$A136)+0.01)</f>
        <v/>
      </c>
      <c r="B138" s="52"/>
      <c r="C138" s="48"/>
      <c r="D138" s="44"/>
      <c r="E138" s="45"/>
      <c r="F138" s="47"/>
      <c r="G138" s="45"/>
      <c r="H138" s="46" t="str">
        <f t="shared" si="59"/>
        <v/>
      </c>
      <c r="I138" s="45"/>
      <c r="J138" s="46" t="str">
        <f t="shared" si="60"/>
        <v/>
      </c>
      <c r="K138" s="45"/>
      <c r="L138" s="46" t="str">
        <f t="shared" si="61"/>
        <v/>
      </c>
      <c r="M138" s="45"/>
      <c r="N138" s="46" t="str">
        <f t="shared" si="62"/>
        <v/>
      </c>
      <c r="O138" s="44"/>
      <c r="P138" s="45"/>
      <c r="Q138" s="46" t="str">
        <f t="shared" si="63"/>
        <v/>
      </c>
      <c r="R138" s="53" t="str">
        <f t="shared" si="64"/>
        <v/>
      </c>
      <c r="S138" s="43"/>
      <c r="T138" s="43"/>
      <c r="U138" s="43"/>
      <c r="W138" s="37">
        <v>0</v>
      </c>
      <c r="X138" s="37">
        <v>0</v>
      </c>
      <c r="Y138" s="37">
        <v>0</v>
      </c>
      <c r="Z138" s="37">
        <v>0</v>
      </c>
      <c r="AA138" s="37">
        <v>0</v>
      </c>
      <c r="AB138" s="38">
        <v>0</v>
      </c>
      <c r="AC138" s="38">
        <v>0</v>
      </c>
      <c r="AD138" s="38">
        <v>0</v>
      </c>
      <c r="AE138" s="38">
        <v>0</v>
      </c>
      <c r="AF138" s="38">
        <v>0</v>
      </c>
      <c r="AG138" s="36">
        <f t="shared" si="6"/>
        <v>0</v>
      </c>
      <c r="AI138" s="56"/>
      <c r="AJ138" s="56"/>
      <c r="AK138" s="56"/>
      <c r="AL138" s="56"/>
      <c r="AM138" s="79">
        <f t="shared" si="10"/>
        <v>0</v>
      </c>
      <c r="AN138" s="79">
        <f t="shared" si="11"/>
        <v>0</v>
      </c>
      <c r="AO138" s="79">
        <f t="shared" si="12"/>
        <v>0</v>
      </c>
      <c r="AP138" s="79">
        <f t="shared" si="13"/>
        <v>0</v>
      </c>
      <c r="AQ138" s="79">
        <f t="shared" si="12"/>
        <v>0</v>
      </c>
      <c r="AR138" s="79">
        <f t="shared" si="13"/>
        <v>0</v>
      </c>
      <c r="AS138" s="79">
        <f t="shared" si="14"/>
        <v>0</v>
      </c>
      <c r="AT138" s="79">
        <f t="shared" si="15"/>
        <v>0</v>
      </c>
      <c r="AU138" s="79">
        <f t="shared" si="16"/>
        <v>0</v>
      </c>
      <c r="AV138" s="79">
        <f t="shared" si="17"/>
        <v>0</v>
      </c>
      <c r="AW138" s="79">
        <f t="shared" si="18"/>
        <v>0</v>
      </c>
      <c r="AX138" s="79">
        <f t="shared" si="19"/>
        <v>0</v>
      </c>
      <c r="AY138" s="79">
        <f t="shared" si="20"/>
        <v>0</v>
      </c>
      <c r="AZ138" s="79">
        <f t="shared" si="21"/>
        <v>0</v>
      </c>
      <c r="BA138" s="79">
        <f t="shared" si="22"/>
        <v>0</v>
      </c>
      <c r="BB138" s="79">
        <f t="shared" si="23"/>
        <v>0</v>
      </c>
      <c r="BC138" s="79">
        <f t="shared" si="22"/>
        <v>0</v>
      </c>
      <c r="BD138" s="79">
        <f t="shared" si="23"/>
        <v>0</v>
      </c>
      <c r="BE138" s="79">
        <f t="shared" si="24"/>
        <v>0</v>
      </c>
      <c r="BF138" s="79">
        <f t="shared" si="25"/>
        <v>0</v>
      </c>
      <c r="BG138" s="79">
        <f t="shared" si="26"/>
        <v>0</v>
      </c>
      <c r="BH138" s="79">
        <f t="shared" si="27"/>
        <v>0</v>
      </c>
      <c r="BI138" s="79">
        <f t="shared" si="28"/>
        <v>0</v>
      </c>
      <c r="BJ138" s="79">
        <f t="shared" si="29"/>
        <v>0</v>
      </c>
    </row>
    <row r="139" spans="1:62" x14ac:dyDescent="0.3">
      <c r="A139" s="12" t="str">
        <f>IF(ISBLANK($C139),"",MAX($A$95:$A138)+0.01)</f>
        <v/>
      </c>
      <c r="B139" s="52"/>
      <c r="C139" s="48"/>
      <c r="D139" s="44"/>
      <c r="E139" s="45"/>
      <c r="F139" s="47"/>
      <c r="G139" s="45"/>
      <c r="H139" s="46" t="str">
        <f t="shared" si="59"/>
        <v/>
      </c>
      <c r="I139" s="45"/>
      <c r="J139" s="46" t="str">
        <f t="shared" si="60"/>
        <v/>
      </c>
      <c r="K139" s="45"/>
      <c r="L139" s="46" t="str">
        <f t="shared" si="61"/>
        <v/>
      </c>
      <c r="M139" s="45"/>
      <c r="N139" s="46" t="str">
        <f t="shared" si="62"/>
        <v/>
      </c>
      <c r="O139" s="44"/>
      <c r="P139" s="45"/>
      <c r="Q139" s="46" t="str">
        <f t="shared" si="63"/>
        <v/>
      </c>
      <c r="R139" s="53" t="str">
        <f t="shared" si="64"/>
        <v/>
      </c>
      <c r="S139" s="43"/>
      <c r="T139" s="43"/>
      <c r="U139" s="43"/>
      <c r="W139" s="37">
        <v>0</v>
      </c>
      <c r="X139" s="37">
        <v>0</v>
      </c>
      <c r="Y139" s="37">
        <v>0</v>
      </c>
      <c r="Z139" s="37">
        <v>0</v>
      </c>
      <c r="AA139" s="37">
        <v>0</v>
      </c>
      <c r="AB139" s="38">
        <v>0</v>
      </c>
      <c r="AC139" s="38">
        <v>0</v>
      </c>
      <c r="AD139" s="38">
        <v>0</v>
      </c>
      <c r="AE139" s="38">
        <v>0</v>
      </c>
      <c r="AF139" s="38">
        <v>0</v>
      </c>
      <c r="AG139" s="36">
        <f t="shared" si="6"/>
        <v>0</v>
      </c>
      <c r="AI139" s="56"/>
      <c r="AJ139" s="56"/>
      <c r="AK139" s="56"/>
      <c r="AL139" s="56"/>
      <c r="AM139" s="79">
        <f t="shared" si="10"/>
        <v>0</v>
      </c>
      <c r="AN139" s="79">
        <f t="shared" si="11"/>
        <v>0</v>
      </c>
      <c r="AO139" s="79">
        <f t="shared" si="12"/>
        <v>0</v>
      </c>
      <c r="AP139" s="79">
        <f t="shared" si="13"/>
        <v>0</v>
      </c>
      <c r="AQ139" s="79">
        <f t="shared" si="12"/>
        <v>0</v>
      </c>
      <c r="AR139" s="79">
        <f t="shared" si="13"/>
        <v>0</v>
      </c>
      <c r="AS139" s="79">
        <f t="shared" si="14"/>
        <v>0</v>
      </c>
      <c r="AT139" s="79">
        <f t="shared" si="15"/>
        <v>0</v>
      </c>
      <c r="AU139" s="79">
        <f t="shared" si="16"/>
        <v>0</v>
      </c>
      <c r="AV139" s="79">
        <f t="shared" si="17"/>
        <v>0</v>
      </c>
      <c r="AW139" s="79">
        <f t="shared" si="18"/>
        <v>0</v>
      </c>
      <c r="AX139" s="79">
        <f t="shared" si="19"/>
        <v>0</v>
      </c>
      <c r="AY139" s="79">
        <f t="shared" si="20"/>
        <v>0</v>
      </c>
      <c r="AZ139" s="79">
        <f t="shared" si="21"/>
        <v>0</v>
      </c>
      <c r="BA139" s="79">
        <f t="shared" si="22"/>
        <v>0</v>
      </c>
      <c r="BB139" s="79">
        <f t="shared" si="23"/>
        <v>0</v>
      </c>
      <c r="BC139" s="79">
        <f t="shared" si="22"/>
        <v>0</v>
      </c>
      <c r="BD139" s="79">
        <f t="shared" si="23"/>
        <v>0</v>
      </c>
      <c r="BE139" s="79">
        <f t="shared" si="24"/>
        <v>0</v>
      </c>
      <c r="BF139" s="79">
        <f t="shared" si="25"/>
        <v>0</v>
      </c>
      <c r="BG139" s="79">
        <f t="shared" si="26"/>
        <v>0</v>
      </c>
      <c r="BH139" s="79">
        <f t="shared" si="27"/>
        <v>0</v>
      </c>
      <c r="BI139" s="79">
        <f t="shared" si="28"/>
        <v>0</v>
      </c>
      <c r="BJ139" s="79">
        <f t="shared" si="29"/>
        <v>0</v>
      </c>
    </row>
    <row r="140" spans="1:62" x14ac:dyDescent="0.3">
      <c r="A140" s="12" t="str">
        <f>IF(ISBLANK($C140),"",MAX($A$95:$A139)+0.01)</f>
        <v/>
      </c>
      <c r="B140" s="52"/>
      <c r="C140" s="48"/>
      <c r="D140" s="44"/>
      <c r="E140" s="45"/>
      <c r="F140" s="47"/>
      <c r="G140" s="45"/>
      <c r="H140" s="46" t="str">
        <f t="shared" si="59"/>
        <v/>
      </c>
      <c r="I140" s="45"/>
      <c r="J140" s="46" t="str">
        <f t="shared" si="60"/>
        <v/>
      </c>
      <c r="K140" s="45"/>
      <c r="L140" s="46" t="str">
        <f t="shared" si="61"/>
        <v/>
      </c>
      <c r="M140" s="45"/>
      <c r="N140" s="46" t="str">
        <f t="shared" si="62"/>
        <v/>
      </c>
      <c r="O140" s="44"/>
      <c r="P140" s="45"/>
      <c r="Q140" s="46" t="str">
        <f t="shared" si="63"/>
        <v/>
      </c>
      <c r="R140" s="53" t="str">
        <f t="shared" si="64"/>
        <v/>
      </c>
      <c r="S140" s="43"/>
      <c r="T140" s="43"/>
      <c r="U140" s="43"/>
      <c r="W140" s="37">
        <v>0</v>
      </c>
      <c r="X140" s="37">
        <v>0</v>
      </c>
      <c r="Y140" s="37">
        <v>0</v>
      </c>
      <c r="Z140" s="37">
        <v>0</v>
      </c>
      <c r="AA140" s="37">
        <v>0</v>
      </c>
      <c r="AB140" s="38">
        <v>0</v>
      </c>
      <c r="AC140" s="38">
        <v>0</v>
      </c>
      <c r="AD140" s="38">
        <v>0</v>
      </c>
      <c r="AE140" s="38">
        <v>0</v>
      </c>
      <c r="AF140" s="38">
        <v>0</v>
      </c>
      <c r="AG140" s="36">
        <f t="shared" si="6"/>
        <v>0</v>
      </c>
      <c r="AI140" s="56"/>
      <c r="AJ140" s="56"/>
      <c r="AK140" s="56"/>
      <c r="AL140" s="56"/>
      <c r="AM140" s="79">
        <f t="shared" si="10"/>
        <v>0</v>
      </c>
      <c r="AN140" s="79">
        <f t="shared" si="11"/>
        <v>0</v>
      </c>
      <c r="AO140" s="79">
        <f t="shared" si="12"/>
        <v>0</v>
      </c>
      <c r="AP140" s="79">
        <f t="shared" si="13"/>
        <v>0</v>
      </c>
      <c r="AQ140" s="79">
        <f t="shared" si="12"/>
        <v>0</v>
      </c>
      <c r="AR140" s="79">
        <f t="shared" si="13"/>
        <v>0</v>
      </c>
      <c r="AS140" s="79">
        <f t="shared" si="14"/>
        <v>0</v>
      </c>
      <c r="AT140" s="79">
        <f t="shared" si="15"/>
        <v>0</v>
      </c>
      <c r="AU140" s="79">
        <f t="shared" si="16"/>
        <v>0</v>
      </c>
      <c r="AV140" s="79">
        <f t="shared" si="17"/>
        <v>0</v>
      </c>
      <c r="AW140" s="79">
        <f t="shared" si="18"/>
        <v>0</v>
      </c>
      <c r="AX140" s="79">
        <f t="shared" si="19"/>
        <v>0</v>
      </c>
      <c r="AY140" s="79">
        <f t="shared" si="20"/>
        <v>0</v>
      </c>
      <c r="AZ140" s="79">
        <f t="shared" si="21"/>
        <v>0</v>
      </c>
      <c r="BA140" s="79">
        <f t="shared" si="22"/>
        <v>0</v>
      </c>
      <c r="BB140" s="79">
        <f t="shared" si="23"/>
        <v>0</v>
      </c>
      <c r="BC140" s="79">
        <f t="shared" si="22"/>
        <v>0</v>
      </c>
      <c r="BD140" s="79">
        <f t="shared" si="23"/>
        <v>0</v>
      </c>
      <c r="BE140" s="79">
        <f t="shared" si="24"/>
        <v>0</v>
      </c>
      <c r="BF140" s="79">
        <f t="shared" si="25"/>
        <v>0</v>
      </c>
      <c r="BG140" s="79">
        <f t="shared" si="26"/>
        <v>0</v>
      </c>
      <c r="BH140" s="79">
        <f t="shared" si="27"/>
        <v>0</v>
      </c>
      <c r="BI140" s="79">
        <f t="shared" si="28"/>
        <v>0</v>
      </c>
      <c r="BJ140" s="79">
        <f t="shared" si="29"/>
        <v>0</v>
      </c>
    </row>
    <row r="141" spans="1:62" x14ac:dyDescent="0.3">
      <c r="A141" s="12" t="str">
        <f>IF(ISBLANK($C141),"",MAX($A$95:$A140)+0.01)</f>
        <v/>
      </c>
      <c r="B141" s="52"/>
      <c r="C141" s="48"/>
      <c r="D141" s="44"/>
      <c r="E141" s="45"/>
      <c r="F141" s="47"/>
      <c r="G141" s="45"/>
      <c r="H141" s="46" t="str">
        <f t="shared" si="59"/>
        <v/>
      </c>
      <c r="I141" s="45"/>
      <c r="J141" s="46" t="str">
        <f t="shared" si="60"/>
        <v/>
      </c>
      <c r="K141" s="45"/>
      <c r="L141" s="46" t="str">
        <f t="shared" si="61"/>
        <v/>
      </c>
      <c r="M141" s="45"/>
      <c r="N141" s="46" t="str">
        <f t="shared" si="62"/>
        <v/>
      </c>
      <c r="O141" s="44"/>
      <c r="P141" s="45"/>
      <c r="Q141" s="46" t="str">
        <f t="shared" si="63"/>
        <v/>
      </c>
      <c r="R141" s="53" t="str">
        <f t="shared" si="64"/>
        <v/>
      </c>
      <c r="S141" s="43"/>
      <c r="T141" s="43"/>
      <c r="U141" s="43"/>
      <c r="W141" s="37">
        <v>0</v>
      </c>
      <c r="X141" s="37">
        <v>0</v>
      </c>
      <c r="Y141" s="37">
        <v>0</v>
      </c>
      <c r="Z141" s="37">
        <v>0</v>
      </c>
      <c r="AA141" s="37">
        <v>0</v>
      </c>
      <c r="AB141" s="38">
        <v>0</v>
      </c>
      <c r="AC141" s="38">
        <v>0</v>
      </c>
      <c r="AD141" s="38">
        <v>0</v>
      </c>
      <c r="AE141" s="38">
        <v>0</v>
      </c>
      <c r="AF141" s="38">
        <v>0</v>
      </c>
      <c r="AG141" s="36">
        <f t="shared" si="6"/>
        <v>0</v>
      </c>
      <c r="AI141" s="56"/>
      <c r="AJ141" s="56"/>
      <c r="AK141" s="56"/>
      <c r="AL141" s="56"/>
      <c r="AM141" s="79">
        <f t="shared" si="10"/>
        <v>0</v>
      </c>
      <c r="AN141" s="79">
        <f t="shared" si="11"/>
        <v>0</v>
      </c>
      <c r="AO141" s="79">
        <f t="shared" si="12"/>
        <v>0</v>
      </c>
      <c r="AP141" s="79">
        <f t="shared" si="13"/>
        <v>0</v>
      </c>
      <c r="AQ141" s="79">
        <f t="shared" si="12"/>
        <v>0</v>
      </c>
      <c r="AR141" s="79">
        <f t="shared" si="13"/>
        <v>0</v>
      </c>
      <c r="AS141" s="79">
        <f t="shared" si="14"/>
        <v>0</v>
      </c>
      <c r="AT141" s="79">
        <f t="shared" si="15"/>
        <v>0</v>
      </c>
      <c r="AU141" s="79">
        <f t="shared" si="16"/>
        <v>0</v>
      </c>
      <c r="AV141" s="79">
        <f t="shared" si="17"/>
        <v>0</v>
      </c>
      <c r="AW141" s="79">
        <f t="shared" si="18"/>
        <v>0</v>
      </c>
      <c r="AX141" s="79">
        <f t="shared" si="19"/>
        <v>0</v>
      </c>
      <c r="AY141" s="79">
        <f t="shared" si="20"/>
        <v>0</v>
      </c>
      <c r="AZ141" s="79">
        <f t="shared" si="21"/>
        <v>0</v>
      </c>
      <c r="BA141" s="79">
        <f t="shared" si="22"/>
        <v>0</v>
      </c>
      <c r="BB141" s="79">
        <f t="shared" si="23"/>
        <v>0</v>
      </c>
      <c r="BC141" s="79">
        <f t="shared" si="22"/>
        <v>0</v>
      </c>
      <c r="BD141" s="79">
        <f t="shared" si="23"/>
        <v>0</v>
      </c>
      <c r="BE141" s="79">
        <f t="shared" si="24"/>
        <v>0</v>
      </c>
      <c r="BF141" s="79">
        <f t="shared" si="25"/>
        <v>0</v>
      </c>
      <c r="BG141" s="79">
        <f t="shared" si="26"/>
        <v>0</v>
      </c>
      <c r="BH141" s="79">
        <f t="shared" si="27"/>
        <v>0</v>
      </c>
      <c r="BI141" s="79">
        <f t="shared" si="28"/>
        <v>0</v>
      </c>
      <c r="BJ141" s="79">
        <f t="shared" si="29"/>
        <v>0</v>
      </c>
    </row>
    <row r="142" spans="1:62" ht="24" customHeight="1" x14ac:dyDescent="0.3">
      <c r="A142" s="20"/>
      <c r="B142" s="234" t="s">
        <v>134</v>
      </c>
      <c r="C142" s="234"/>
      <c r="D142" s="234"/>
      <c r="E142" s="234"/>
      <c r="F142" s="234"/>
      <c r="G142" s="234"/>
      <c r="H142" s="234"/>
      <c r="I142" s="234"/>
      <c r="J142" s="234"/>
      <c r="K142" s="234"/>
      <c r="L142" s="234"/>
      <c r="M142" s="234"/>
      <c r="N142" s="234"/>
      <c r="O142" s="234"/>
      <c r="P142" s="234"/>
      <c r="Q142" s="234"/>
      <c r="R142" s="234"/>
      <c r="S142" s="234"/>
      <c r="T142" s="234"/>
      <c r="U142" s="234"/>
      <c r="AI142" s="56"/>
      <c r="AJ142" s="56"/>
      <c r="AK142" s="56"/>
      <c r="AL142" s="56"/>
      <c r="AM142" s="79">
        <f t="shared" si="10"/>
        <v>0</v>
      </c>
      <c r="AN142" s="79">
        <f t="shared" si="11"/>
        <v>0</v>
      </c>
      <c r="AO142" s="79">
        <f t="shared" si="12"/>
        <v>0</v>
      </c>
      <c r="AP142" s="79">
        <f t="shared" si="13"/>
        <v>0</v>
      </c>
      <c r="AQ142" s="79">
        <f t="shared" si="12"/>
        <v>0</v>
      </c>
      <c r="AR142" s="79">
        <f t="shared" si="13"/>
        <v>0</v>
      </c>
      <c r="AS142" s="79">
        <f t="shared" si="14"/>
        <v>0</v>
      </c>
      <c r="AT142" s="79">
        <f t="shared" si="15"/>
        <v>0</v>
      </c>
      <c r="AU142" s="79">
        <f t="shared" si="16"/>
        <v>0</v>
      </c>
      <c r="AV142" s="79">
        <f t="shared" si="17"/>
        <v>0</v>
      </c>
      <c r="AW142" s="79">
        <f t="shared" si="18"/>
        <v>0</v>
      </c>
      <c r="AX142" s="79">
        <f t="shared" si="19"/>
        <v>0</v>
      </c>
      <c r="AY142" s="79">
        <f t="shared" si="20"/>
        <v>0</v>
      </c>
      <c r="AZ142" s="79">
        <f t="shared" si="21"/>
        <v>0</v>
      </c>
      <c r="BA142" s="79">
        <f t="shared" si="22"/>
        <v>0</v>
      </c>
      <c r="BB142" s="79">
        <f t="shared" si="23"/>
        <v>0</v>
      </c>
      <c r="BC142" s="79">
        <f t="shared" si="22"/>
        <v>0</v>
      </c>
      <c r="BD142" s="79">
        <f t="shared" si="23"/>
        <v>0</v>
      </c>
      <c r="BE142" s="79">
        <f t="shared" si="24"/>
        <v>0</v>
      </c>
      <c r="BF142" s="79">
        <f t="shared" si="25"/>
        <v>0</v>
      </c>
      <c r="BG142" s="79">
        <f t="shared" si="26"/>
        <v>0</v>
      </c>
      <c r="BH142" s="79">
        <f t="shared" si="27"/>
        <v>0</v>
      </c>
      <c r="BI142" s="79">
        <f t="shared" si="28"/>
        <v>0</v>
      </c>
      <c r="BJ142" s="79">
        <f t="shared" si="29"/>
        <v>0</v>
      </c>
    </row>
    <row r="143" spans="1:62" ht="82.8" x14ac:dyDescent="0.3">
      <c r="A143" s="12">
        <f>IF(ISBLANK($C143),"",MAX($A$95:$A142)+0.01)</f>
        <v>4.2899999999999938</v>
      </c>
      <c r="B143" s="65" t="s">
        <v>13</v>
      </c>
      <c r="C143" s="66" t="s">
        <v>69</v>
      </c>
      <c r="D143" s="44" t="s">
        <v>528</v>
      </c>
      <c r="E143" s="45" t="s">
        <v>43</v>
      </c>
      <c r="F143" s="44" t="s">
        <v>529</v>
      </c>
      <c r="G143" s="45" t="s">
        <v>95</v>
      </c>
      <c r="H143" s="46">
        <f t="shared" ref="H143:H153" si="94">IFERROR(VLOOKUP($E143,$D$199:$E$203,2,FALSE)*VLOOKUP($G143,$D$206:$E$210,2,FALSE),"")</f>
        <v>2</v>
      </c>
      <c r="I143" s="45" t="s">
        <v>94</v>
      </c>
      <c r="J143" s="46">
        <f t="shared" ref="J143:J153" si="95">IFERROR(VLOOKUP($E143,$D$199:$E$203,2,FALSE)*VLOOKUP($I143,$D$213:$E$217,2,FALSE),"")</f>
        <v>1</v>
      </c>
      <c r="K143" s="45"/>
      <c r="L143" s="46" t="str">
        <f t="shared" ref="L143:L153" si="96">IFERROR(VLOOKUP($E143,$D$199:$E$203,2,FALSE)*VLOOKUP($K143,$D$220:$E$224,2,FALSE),"")</f>
        <v/>
      </c>
      <c r="M143" s="45" t="s">
        <v>94</v>
      </c>
      <c r="N143" s="46">
        <f t="shared" ref="N143:N153" si="97">IFERROR(VLOOKUP($E143,$D$199:$E$203,2,FALSE)*VLOOKUP($M143,$D$227:$E$231,2,FALSE),"")</f>
        <v>1</v>
      </c>
      <c r="O143" s="44"/>
      <c r="P143" s="45"/>
      <c r="Q143" s="50" t="str">
        <f t="shared" ref="Q143:Q153" si="98">IFERROR(VLOOKUP($E143,$D$199:$E$203,2,FALSE)*VLOOKUP($P143,$D$234:$E$238,2,FALSE),"")</f>
        <v/>
      </c>
      <c r="R143" s="53" t="str">
        <f t="shared" ref="R143:R153" si="99">IF(LEFT($D$16,3)="Yes",IF(IFERROR(FIND("DP",$B143),0)&gt;0,IF(_xlfn.NUMBERVALUE($Q143)&gt;=$N$235,"High",IF(_xlfn.NUMBERVALUE($Q143)&gt;=$N$234,"Medium",IF(_xlfn.NUMBERVALUE($Q143)&gt;0,"Low",IF($P143="N/A","","make choice")))),""),"")</f>
        <v/>
      </c>
      <c r="S143" s="43"/>
      <c r="T143" s="43" t="s">
        <v>174</v>
      </c>
      <c r="U143" s="43" t="s">
        <v>476</v>
      </c>
      <c r="W143" s="37">
        <v>0</v>
      </c>
      <c r="X143" s="37">
        <v>0</v>
      </c>
      <c r="Y143" s="37">
        <v>0</v>
      </c>
      <c r="Z143" s="37">
        <v>0</v>
      </c>
      <c r="AA143" s="37">
        <v>0</v>
      </c>
      <c r="AB143" s="38">
        <v>0</v>
      </c>
      <c r="AC143" s="38">
        <v>0</v>
      </c>
      <c r="AD143" s="38">
        <v>0</v>
      </c>
      <c r="AE143" s="38">
        <v>0</v>
      </c>
      <c r="AF143" s="38">
        <v>0</v>
      </c>
      <c r="AG143" s="36">
        <f>IF($AG$100=5,SUM(AB143:AF143),IF($AG$100=4,SUM(AB143:AE143),IF($AG$100=3,SUM(AB143:AD143),IF($AG$100=2,SUM(AB143:AC143),AB143))))/$AG$100</f>
        <v>0</v>
      </c>
      <c r="AI143" s="56"/>
      <c r="AJ143" s="56"/>
      <c r="AK143" s="56"/>
      <c r="AL143" s="56"/>
      <c r="AM143" s="79">
        <f t="shared" si="10"/>
        <v>0</v>
      </c>
      <c r="AN143" s="79">
        <f t="shared" si="11"/>
        <v>0</v>
      </c>
      <c r="AO143" s="79">
        <f t="shared" si="12"/>
        <v>0</v>
      </c>
      <c r="AP143" s="79">
        <f t="shared" si="13"/>
        <v>0</v>
      </c>
      <c r="AQ143" s="79">
        <f t="shared" si="12"/>
        <v>2</v>
      </c>
      <c r="AR143" s="79">
        <f t="shared" si="13"/>
        <v>16</v>
      </c>
      <c r="AS143" s="79">
        <f t="shared" si="14"/>
        <v>0</v>
      </c>
      <c r="AT143" s="79">
        <f t="shared" si="15"/>
        <v>0</v>
      </c>
      <c r="AU143" s="79">
        <f t="shared" si="16"/>
        <v>0</v>
      </c>
      <c r="AV143" s="79">
        <f t="shared" si="17"/>
        <v>0</v>
      </c>
      <c r="AW143" s="79">
        <f t="shared" si="18"/>
        <v>0</v>
      </c>
      <c r="AX143" s="79">
        <f t="shared" si="19"/>
        <v>0</v>
      </c>
      <c r="AY143" s="79">
        <f t="shared" si="20"/>
        <v>0</v>
      </c>
      <c r="AZ143" s="79">
        <f t="shared" si="21"/>
        <v>0</v>
      </c>
      <c r="BA143" s="79">
        <f t="shared" si="22"/>
        <v>0</v>
      </c>
      <c r="BB143" s="79">
        <f t="shared" si="23"/>
        <v>0</v>
      </c>
      <c r="BC143" s="79">
        <f t="shared" si="22"/>
        <v>1</v>
      </c>
      <c r="BD143" s="79">
        <f t="shared" si="23"/>
        <v>16</v>
      </c>
      <c r="BE143" s="79">
        <f t="shared" si="24"/>
        <v>0</v>
      </c>
      <c r="BF143" s="79">
        <f t="shared" si="25"/>
        <v>0</v>
      </c>
      <c r="BG143" s="79">
        <f t="shared" si="26"/>
        <v>0</v>
      </c>
      <c r="BH143" s="79">
        <f t="shared" si="27"/>
        <v>0</v>
      </c>
      <c r="BI143" s="79">
        <f t="shared" si="28"/>
        <v>0</v>
      </c>
      <c r="BJ143" s="79">
        <f t="shared" si="29"/>
        <v>0</v>
      </c>
    </row>
    <row r="144" spans="1:62" ht="165.6" x14ac:dyDescent="0.3">
      <c r="A144" s="12">
        <f>IF(ISBLANK($C144),"",MAX($A$95:$A143)+0.01)</f>
        <v>4.2999999999999936</v>
      </c>
      <c r="B144" s="65" t="s">
        <v>16</v>
      </c>
      <c r="C144" s="70" t="s">
        <v>163</v>
      </c>
      <c r="D144" s="44" t="s">
        <v>532</v>
      </c>
      <c r="E144" s="45" t="s">
        <v>42</v>
      </c>
      <c r="F144" s="44" t="s">
        <v>530</v>
      </c>
      <c r="G144" s="45" t="s">
        <v>94</v>
      </c>
      <c r="H144" s="46">
        <f t="shared" si="94"/>
        <v>2</v>
      </c>
      <c r="I144" s="45" t="s">
        <v>94</v>
      </c>
      <c r="J144" s="46">
        <f t="shared" si="95"/>
        <v>2</v>
      </c>
      <c r="K144" s="45"/>
      <c r="L144" s="46" t="str">
        <f t="shared" si="96"/>
        <v/>
      </c>
      <c r="M144" s="45"/>
      <c r="N144" s="46" t="str">
        <f t="shared" si="97"/>
        <v/>
      </c>
      <c r="O144" s="44" t="s">
        <v>531</v>
      </c>
      <c r="P144" s="45" t="s">
        <v>94</v>
      </c>
      <c r="Q144" s="50">
        <f t="shared" si="98"/>
        <v>2</v>
      </c>
      <c r="R144" s="53" t="str">
        <f t="shared" si="99"/>
        <v>Low</v>
      </c>
      <c r="S144" s="43"/>
      <c r="T144" s="43" t="s">
        <v>174</v>
      </c>
      <c r="U144" s="43" t="s">
        <v>476</v>
      </c>
      <c r="V144" s="54"/>
      <c r="W144" s="37">
        <v>0</v>
      </c>
      <c r="X144" s="37">
        <v>0</v>
      </c>
      <c r="Y144" s="37">
        <v>0</v>
      </c>
      <c r="Z144" s="37">
        <v>0</v>
      </c>
      <c r="AA144" s="37">
        <v>0</v>
      </c>
      <c r="AB144" s="38">
        <v>0</v>
      </c>
      <c r="AC144" s="38">
        <v>0</v>
      </c>
      <c r="AD144" s="38">
        <v>0</v>
      </c>
      <c r="AE144" s="38">
        <v>0</v>
      </c>
      <c r="AF144" s="38">
        <v>0</v>
      </c>
      <c r="AG144" s="36">
        <f>IF($AG$100=5,SUM(AB144:AF144),IF($AG$100=4,SUM(AB144:AE144),IF($AG$100=3,SUM(AB144:AD144),IF($AG$100=2,SUM(AB144:AC144),AB144))))/$AG$100</f>
        <v>0</v>
      </c>
      <c r="AI144" s="56"/>
      <c r="AJ144" s="56"/>
      <c r="AK144" s="56"/>
      <c r="AL144" s="56"/>
      <c r="AM144" s="79">
        <f t="shared" si="10"/>
        <v>2</v>
      </c>
      <c r="AN144" s="79">
        <f t="shared" si="11"/>
        <v>16</v>
      </c>
      <c r="AO144" s="79">
        <f t="shared" si="12"/>
        <v>0</v>
      </c>
      <c r="AP144" s="79">
        <f t="shared" si="13"/>
        <v>0</v>
      </c>
      <c r="AQ144" s="79">
        <f t="shared" si="12"/>
        <v>0</v>
      </c>
      <c r="AR144" s="79">
        <f t="shared" si="13"/>
        <v>0</v>
      </c>
      <c r="AS144" s="79">
        <f t="shared" si="14"/>
        <v>0</v>
      </c>
      <c r="AT144" s="79">
        <f t="shared" si="15"/>
        <v>0</v>
      </c>
      <c r="AU144" s="79">
        <f t="shared" si="16"/>
        <v>0</v>
      </c>
      <c r="AV144" s="79">
        <f t="shared" si="17"/>
        <v>0</v>
      </c>
      <c r="AW144" s="79">
        <f t="shared" si="18"/>
        <v>0</v>
      </c>
      <c r="AX144" s="79">
        <f t="shared" si="19"/>
        <v>0</v>
      </c>
      <c r="AY144" s="79">
        <f t="shared" si="20"/>
        <v>2</v>
      </c>
      <c r="AZ144" s="79">
        <f t="shared" si="21"/>
        <v>16</v>
      </c>
      <c r="BA144" s="79">
        <f t="shared" si="22"/>
        <v>0</v>
      </c>
      <c r="BB144" s="79">
        <f t="shared" si="23"/>
        <v>0</v>
      </c>
      <c r="BC144" s="79">
        <f t="shared" si="22"/>
        <v>0</v>
      </c>
      <c r="BD144" s="79">
        <f t="shared" si="23"/>
        <v>0</v>
      </c>
      <c r="BE144" s="79">
        <f t="shared" si="24"/>
        <v>0</v>
      </c>
      <c r="BF144" s="79">
        <f t="shared" si="25"/>
        <v>0</v>
      </c>
      <c r="BG144" s="79">
        <f t="shared" si="26"/>
        <v>0</v>
      </c>
      <c r="BH144" s="79">
        <f t="shared" si="27"/>
        <v>0</v>
      </c>
      <c r="BI144" s="79">
        <f t="shared" si="28"/>
        <v>0</v>
      </c>
      <c r="BJ144" s="79">
        <f t="shared" si="29"/>
        <v>0</v>
      </c>
    </row>
    <row r="145" spans="1:62" ht="96.6" x14ac:dyDescent="0.3">
      <c r="A145" s="12">
        <f>IF(ISBLANK($C145),"",MAX($A$95:$A144)+0.01)</f>
        <v>4.3099999999999934</v>
      </c>
      <c r="B145" s="65" t="s">
        <v>16</v>
      </c>
      <c r="C145" s="70" t="s">
        <v>533</v>
      </c>
      <c r="D145" s="44" t="s">
        <v>534</v>
      </c>
      <c r="E145" s="45" t="s">
        <v>44</v>
      </c>
      <c r="F145" s="44" t="s">
        <v>535</v>
      </c>
      <c r="G145" s="45" t="s">
        <v>94</v>
      </c>
      <c r="H145" s="46">
        <f t="shared" si="94"/>
        <v>3</v>
      </c>
      <c r="I145" s="45"/>
      <c r="J145" s="46" t="str">
        <f t="shared" si="95"/>
        <v/>
      </c>
      <c r="K145" s="45"/>
      <c r="L145" s="46" t="str">
        <f t="shared" si="96"/>
        <v/>
      </c>
      <c r="M145" s="45"/>
      <c r="N145" s="46" t="str">
        <f t="shared" si="97"/>
        <v/>
      </c>
      <c r="O145" s="44" t="s">
        <v>536</v>
      </c>
      <c r="P145" s="45" t="s">
        <v>91</v>
      </c>
      <c r="Q145" s="50">
        <f t="shared" si="98"/>
        <v>0</v>
      </c>
      <c r="R145" s="53" t="str">
        <f t="shared" si="99"/>
        <v/>
      </c>
      <c r="S145" s="43"/>
      <c r="T145" s="43" t="s">
        <v>174</v>
      </c>
      <c r="U145" s="43" t="s">
        <v>476</v>
      </c>
      <c r="V145" s="54"/>
      <c r="W145" s="37">
        <v>0</v>
      </c>
      <c r="X145" s="37">
        <v>0</v>
      </c>
      <c r="Y145" s="37">
        <v>0</v>
      </c>
      <c r="Z145" s="37">
        <v>0</v>
      </c>
      <c r="AA145" s="37">
        <v>0</v>
      </c>
      <c r="AB145" s="38">
        <v>0</v>
      </c>
      <c r="AC145" s="38">
        <v>0</v>
      </c>
      <c r="AD145" s="38">
        <v>0</v>
      </c>
      <c r="AE145" s="38">
        <v>0</v>
      </c>
      <c r="AF145" s="38">
        <v>0</v>
      </c>
      <c r="AG145" s="36">
        <f t="shared" ref="AG145:AG153" si="100">IF($AG$100=5,SUM(AB145:AF145),IF($AG$100=4,SUM(AB145:AE145),IF($AG$100=3,SUM(AB145:AD145),IF($AG$100=2,SUM(AB145:AC145),AB145))))/$AG$100</f>
        <v>0</v>
      </c>
      <c r="AI145" s="56"/>
      <c r="AJ145" s="56"/>
      <c r="AK145" s="56"/>
      <c r="AL145" s="56"/>
      <c r="AM145" s="79">
        <f t="shared" si="10"/>
        <v>3</v>
      </c>
      <c r="AN145" s="79">
        <f t="shared" si="11"/>
        <v>16</v>
      </c>
      <c r="AO145" s="79">
        <f t="shared" si="12"/>
        <v>0</v>
      </c>
      <c r="AP145" s="79">
        <f t="shared" si="13"/>
        <v>0</v>
      </c>
      <c r="AQ145" s="79">
        <f t="shared" si="12"/>
        <v>0</v>
      </c>
      <c r="AR145" s="79">
        <f t="shared" si="13"/>
        <v>0</v>
      </c>
      <c r="AS145" s="79">
        <f t="shared" si="14"/>
        <v>0</v>
      </c>
      <c r="AT145" s="79">
        <f t="shared" si="15"/>
        <v>0</v>
      </c>
      <c r="AU145" s="79">
        <f t="shared" si="16"/>
        <v>0</v>
      </c>
      <c r="AV145" s="79">
        <f t="shared" si="17"/>
        <v>0</v>
      </c>
      <c r="AW145" s="79">
        <f t="shared" si="18"/>
        <v>0</v>
      </c>
      <c r="AX145" s="79">
        <f t="shared" si="19"/>
        <v>0</v>
      </c>
      <c r="AY145" s="79">
        <f t="shared" si="20"/>
        <v>0</v>
      </c>
      <c r="AZ145" s="79">
        <f t="shared" si="21"/>
        <v>0</v>
      </c>
      <c r="BA145" s="79">
        <f t="shared" si="22"/>
        <v>0</v>
      </c>
      <c r="BB145" s="79">
        <f t="shared" si="23"/>
        <v>0</v>
      </c>
      <c r="BC145" s="79">
        <f t="shared" si="22"/>
        <v>0</v>
      </c>
      <c r="BD145" s="79">
        <f t="shared" si="23"/>
        <v>0</v>
      </c>
      <c r="BE145" s="79">
        <f t="shared" si="24"/>
        <v>0</v>
      </c>
      <c r="BF145" s="79">
        <f t="shared" si="25"/>
        <v>0</v>
      </c>
      <c r="BG145" s="79">
        <f t="shared" si="26"/>
        <v>0</v>
      </c>
      <c r="BH145" s="79">
        <f t="shared" si="27"/>
        <v>0</v>
      </c>
      <c r="BI145" s="79">
        <f t="shared" si="28"/>
        <v>0</v>
      </c>
      <c r="BJ145" s="79">
        <f t="shared" si="29"/>
        <v>0</v>
      </c>
    </row>
    <row r="146" spans="1:62" ht="55.2" x14ac:dyDescent="0.3">
      <c r="A146" s="12">
        <f>IF(ISBLANK($C146),"",MAX($A$95:$A145)+0.01)</f>
        <v>4.3199999999999932</v>
      </c>
      <c r="B146" s="69" t="s">
        <v>67</v>
      </c>
      <c r="C146" s="70" t="s">
        <v>70</v>
      </c>
      <c r="D146" s="44" t="s">
        <v>537</v>
      </c>
      <c r="E146" s="45" t="s">
        <v>43</v>
      </c>
      <c r="F146" s="44" t="s">
        <v>538</v>
      </c>
      <c r="G146" s="45" t="s">
        <v>95</v>
      </c>
      <c r="H146" s="46">
        <f t="shared" si="94"/>
        <v>2</v>
      </c>
      <c r="I146" s="45" t="s">
        <v>95</v>
      </c>
      <c r="J146" s="46">
        <f t="shared" si="95"/>
        <v>2</v>
      </c>
      <c r="K146" s="45"/>
      <c r="L146" s="46" t="str">
        <f t="shared" si="96"/>
        <v/>
      </c>
      <c r="M146" s="45" t="s">
        <v>95</v>
      </c>
      <c r="N146" s="46">
        <f t="shared" si="97"/>
        <v>2</v>
      </c>
      <c r="O146" s="44" t="s">
        <v>539</v>
      </c>
      <c r="P146" s="45" t="s">
        <v>94</v>
      </c>
      <c r="Q146" s="46">
        <f t="shared" si="98"/>
        <v>1</v>
      </c>
      <c r="R146" s="53" t="str">
        <f t="shared" si="99"/>
        <v/>
      </c>
      <c r="S146" s="43"/>
      <c r="T146" s="43" t="s">
        <v>174</v>
      </c>
      <c r="U146" s="43" t="s">
        <v>476</v>
      </c>
      <c r="W146" s="37">
        <v>0</v>
      </c>
      <c r="X146" s="37">
        <v>0</v>
      </c>
      <c r="Y146" s="37">
        <v>0</v>
      </c>
      <c r="Z146" s="37">
        <v>0</v>
      </c>
      <c r="AA146" s="37">
        <v>0</v>
      </c>
      <c r="AB146" s="38">
        <v>0</v>
      </c>
      <c r="AC146" s="38">
        <v>0</v>
      </c>
      <c r="AD146" s="38">
        <v>0</v>
      </c>
      <c r="AE146" s="38">
        <v>0</v>
      </c>
      <c r="AF146" s="38">
        <v>0</v>
      </c>
      <c r="AG146" s="36">
        <f t="shared" si="100"/>
        <v>0</v>
      </c>
      <c r="AI146" s="56"/>
      <c r="AJ146" s="56"/>
      <c r="AK146" s="56"/>
      <c r="AL146" s="56"/>
      <c r="AM146" s="79">
        <f t="shared" si="10"/>
        <v>0</v>
      </c>
      <c r="AN146" s="79">
        <f t="shared" si="11"/>
        <v>0</v>
      </c>
      <c r="AO146" s="79">
        <f t="shared" si="12"/>
        <v>2</v>
      </c>
      <c r="AP146" s="79">
        <f t="shared" si="13"/>
        <v>16</v>
      </c>
      <c r="AQ146" s="79">
        <f t="shared" si="12"/>
        <v>0</v>
      </c>
      <c r="AR146" s="79">
        <f t="shared" si="13"/>
        <v>0</v>
      </c>
      <c r="AS146" s="79">
        <f t="shared" si="14"/>
        <v>0</v>
      </c>
      <c r="AT146" s="79">
        <f t="shared" si="15"/>
        <v>0</v>
      </c>
      <c r="AU146" s="79">
        <f t="shared" si="16"/>
        <v>0</v>
      </c>
      <c r="AV146" s="79">
        <f t="shared" si="17"/>
        <v>0</v>
      </c>
      <c r="AW146" s="79">
        <f t="shared" si="18"/>
        <v>0</v>
      </c>
      <c r="AX146" s="79">
        <f t="shared" si="19"/>
        <v>0</v>
      </c>
      <c r="AY146" s="79">
        <f t="shared" si="20"/>
        <v>0</v>
      </c>
      <c r="AZ146" s="79">
        <f t="shared" si="21"/>
        <v>0</v>
      </c>
      <c r="BA146" s="79">
        <f t="shared" si="22"/>
        <v>2</v>
      </c>
      <c r="BB146" s="79">
        <f t="shared" si="23"/>
        <v>16</v>
      </c>
      <c r="BC146" s="79">
        <f t="shared" si="22"/>
        <v>0</v>
      </c>
      <c r="BD146" s="79">
        <f t="shared" si="23"/>
        <v>0</v>
      </c>
      <c r="BE146" s="79">
        <f t="shared" si="24"/>
        <v>0</v>
      </c>
      <c r="BF146" s="79">
        <f t="shared" si="25"/>
        <v>0</v>
      </c>
      <c r="BG146" s="79">
        <f t="shared" si="26"/>
        <v>0</v>
      </c>
      <c r="BH146" s="79">
        <f t="shared" si="27"/>
        <v>0</v>
      </c>
      <c r="BI146" s="79">
        <f t="shared" si="28"/>
        <v>0</v>
      </c>
      <c r="BJ146" s="79">
        <f t="shared" si="29"/>
        <v>0</v>
      </c>
    </row>
    <row r="147" spans="1:62" ht="55.2" x14ac:dyDescent="0.3">
      <c r="A147" s="12">
        <f>IF(ISBLANK($C147),"",MAX($A$95:$A146)+0.01)</f>
        <v>4.329999999999993</v>
      </c>
      <c r="B147" s="69" t="s">
        <v>67</v>
      </c>
      <c r="C147" s="70" t="s">
        <v>540</v>
      </c>
      <c r="D147" s="44" t="s">
        <v>541</v>
      </c>
      <c r="E147" s="45" t="s">
        <v>43</v>
      </c>
      <c r="F147" s="44" t="s">
        <v>542</v>
      </c>
      <c r="G147" s="45" t="s">
        <v>94</v>
      </c>
      <c r="H147" s="46">
        <f t="shared" si="94"/>
        <v>1</v>
      </c>
      <c r="I147" s="45"/>
      <c r="J147" s="46" t="str">
        <f t="shared" si="95"/>
        <v/>
      </c>
      <c r="K147" s="45"/>
      <c r="L147" s="46" t="str">
        <f t="shared" si="96"/>
        <v/>
      </c>
      <c r="M147" s="45"/>
      <c r="N147" s="46" t="str">
        <f t="shared" si="97"/>
        <v/>
      </c>
      <c r="O147" s="44"/>
      <c r="P147" s="45"/>
      <c r="Q147" s="46" t="str">
        <f t="shared" si="98"/>
        <v/>
      </c>
      <c r="R147" s="53" t="str">
        <f t="shared" si="99"/>
        <v/>
      </c>
      <c r="S147" s="43"/>
      <c r="T147" s="43" t="s">
        <v>174</v>
      </c>
      <c r="U147" s="43" t="s">
        <v>476</v>
      </c>
      <c r="W147" s="37">
        <v>0</v>
      </c>
      <c r="X147" s="37">
        <v>0</v>
      </c>
      <c r="Y147" s="37">
        <v>0</v>
      </c>
      <c r="Z147" s="37">
        <v>0</v>
      </c>
      <c r="AA147" s="37">
        <v>0</v>
      </c>
      <c r="AB147" s="38">
        <v>0</v>
      </c>
      <c r="AC147" s="38">
        <v>0</v>
      </c>
      <c r="AD147" s="38">
        <v>0</v>
      </c>
      <c r="AE147" s="38">
        <v>0</v>
      </c>
      <c r="AF147" s="38">
        <v>0</v>
      </c>
      <c r="AG147" s="36">
        <f t="shared" si="100"/>
        <v>0</v>
      </c>
      <c r="AI147" s="56"/>
      <c r="AJ147" s="56"/>
      <c r="AK147" s="56"/>
      <c r="AL147" s="56"/>
      <c r="AM147" s="79">
        <f t="shared" si="10"/>
        <v>0</v>
      </c>
      <c r="AN147" s="79">
        <f t="shared" si="11"/>
        <v>0</v>
      </c>
      <c r="AO147" s="79">
        <f t="shared" si="12"/>
        <v>1</v>
      </c>
      <c r="AP147" s="79">
        <f t="shared" si="13"/>
        <v>16</v>
      </c>
      <c r="AQ147" s="79">
        <f t="shared" si="12"/>
        <v>0</v>
      </c>
      <c r="AR147" s="79">
        <f t="shared" si="13"/>
        <v>0</v>
      </c>
      <c r="AS147" s="79">
        <f t="shared" si="14"/>
        <v>0</v>
      </c>
      <c r="AT147" s="79">
        <f t="shared" si="15"/>
        <v>0</v>
      </c>
      <c r="AU147" s="79">
        <f t="shared" si="16"/>
        <v>0</v>
      </c>
      <c r="AV147" s="79">
        <f t="shared" si="17"/>
        <v>0</v>
      </c>
      <c r="AW147" s="79">
        <f t="shared" si="18"/>
        <v>0</v>
      </c>
      <c r="AX147" s="79">
        <f t="shared" si="19"/>
        <v>0</v>
      </c>
      <c r="AY147" s="79">
        <f t="shared" si="20"/>
        <v>0</v>
      </c>
      <c r="AZ147" s="79">
        <f t="shared" si="21"/>
        <v>0</v>
      </c>
      <c r="BA147" s="79">
        <f t="shared" si="22"/>
        <v>0</v>
      </c>
      <c r="BB147" s="79">
        <f t="shared" si="23"/>
        <v>0</v>
      </c>
      <c r="BC147" s="79">
        <f t="shared" si="22"/>
        <v>0</v>
      </c>
      <c r="BD147" s="79">
        <f t="shared" si="23"/>
        <v>0</v>
      </c>
      <c r="BE147" s="79">
        <f t="shared" si="24"/>
        <v>0</v>
      </c>
      <c r="BF147" s="79">
        <f t="shared" si="25"/>
        <v>0</v>
      </c>
      <c r="BG147" s="79">
        <f t="shared" si="26"/>
        <v>0</v>
      </c>
      <c r="BH147" s="79">
        <f t="shared" si="27"/>
        <v>0</v>
      </c>
      <c r="BI147" s="79">
        <f t="shared" si="28"/>
        <v>0</v>
      </c>
      <c r="BJ147" s="79">
        <f t="shared" si="29"/>
        <v>0</v>
      </c>
    </row>
    <row r="148" spans="1:62" ht="55.2" x14ac:dyDescent="0.3">
      <c r="A148" s="12">
        <f>IF(ISBLANK($C148),"",MAX($A$95:$A147)+0.01)</f>
        <v>4.3399999999999928</v>
      </c>
      <c r="B148" s="69" t="s">
        <v>19</v>
      </c>
      <c r="C148" s="70" t="s">
        <v>155</v>
      </c>
      <c r="D148" s="44" t="s">
        <v>543</v>
      </c>
      <c r="E148" s="45" t="s">
        <v>43</v>
      </c>
      <c r="F148" s="44" t="s">
        <v>544</v>
      </c>
      <c r="G148" s="45" t="s">
        <v>95</v>
      </c>
      <c r="H148" s="46">
        <f t="shared" si="94"/>
        <v>2</v>
      </c>
      <c r="I148" s="45"/>
      <c r="J148" s="46" t="str">
        <f t="shared" si="95"/>
        <v/>
      </c>
      <c r="K148" s="45"/>
      <c r="L148" s="46" t="str">
        <f t="shared" si="96"/>
        <v/>
      </c>
      <c r="M148" s="45"/>
      <c r="N148" s="46" t="str">
        <f t="shared" si="97"/>
        <v/>
      </c>
      <c r="O148" s="44"/>
      <c r="P148" s="45"/>
      <c r="Q148" s="46" t="str">
        <f t="shared" si="98"/>
        <v/>
      </c>
      <c r="R148" s="53" t="str">
        <f t="shared" si="99"/>
        <v/>
      </c>
      <c r="S148" s="43"/>
      <c r="T148" s="43" t="s">
        <v>174</v>
      </c>
      <c r="U148" s="43" t="s">
        <v>476</v>
      </c>
      <c r="W148" s="37">
        <v>0</v>
      </c>
      <c r="X148" s="37">
        <v>0</v>
      </c>
      <c r="Y148" s="37">
        <v>0</v>
      </c>
      <c r="Z148" s="37">
        <v>0</v>
      </c>
      <c r="AA148" s="37">
        <v>0</v>
      </c>
      <c r="AB148" s="38">
        <v>0</v>
      </c>
      <c r="AC148" s="38">
        <v>0</v>
      </c>
      <c r="AD148" s="38">
        <v>0</v>
      </c>
      <c r="AE148" s="38">
        <v>0</v>
      </c>
      <c r="AF148" s="38">
        <v>0</v>
      </c>
      <c r="AG148" s="36">
        <f t="shared" si="100"/>
        <v>0</v>
      </c>
      <c r="AI148" s="56"/>
      <c r="AJ148" s="56"/>
      <c r="AK148" s="56"/>
      <c r="AL148" s="56"/>
      <c r="AM148" s="79">
        <f t="shared" si="10"/>
        <v>0</v>
      </c>
      <c r="AN148" s="79">
        <f t="shared" si="11"/>
        <v>0</v>
      </c>
      <c r="AO148" s="79">
        <f t="shared" si="12"/>
        <v>0</v>
      </c>
      <c r="AP148" s="79">
        <f t="shared" si="13"/>
        <v>0</v>
      </c>
      <c r="AQ148" s="79">
        <f t="shared" si="12"/>
        <v>0</v>
      </c>
      <c r="AR148" s="79">
        <f t="shared" si="13"/>
        <v>0</v>
      </c>
      <c r="AS148" s="79">
        <f t="shared" si="14"/>
        <v>2</v>
      </c>
      <c r="AT148" s="79">
        <f t="shared" si="15"/>
        <v>16</v>
      </c>
      <c r="AU148" s="79">
        <f t="shared" si="16"/>
        <v>0</v>
      </c>
      <c r="AV148" s="79">
        <f t="shared" si="17"/>
        <v>0</v>
      </c>
      <c r="AW148" s="79">
        <f t="shared" si="18"/>
        <v>0</v>
      </c>
      <c r="AX148" s="79">
        <f t="shared" si="19"/>
        <v>0</v>
      </c>
      <c r="AY148" s="79">
        <f t="shared" si="20"/>
        <v>0</v>
      </c>
      <c r="AZ148" s="79">
        <f t="shared" si="21"/>
        <v>0</v>
      </c>
      <c r="BA148" s="79">
        <f t="shared" si="22"/>
        <v>0</v>
      </c>
      <c r="BB148" s="79">
        <f t="shared" si="23"/>
        <v>0</v>
      </c>
      <c r="BC148" s="79">
        <f t="shared" si="22"/>
        <v>0</v>
      </c>
      <c r="BD148" s="79">
        <f t="shared" si="23"/>
        <v>0</v>
      </c>
      <c r="BE148" s="79">
        <f t="shared" si="24"/>
        <v>0</v>
      </c>
      <c r="BF148" s="79">
        <f t="shared" si="25"/>
        <v>0</v>
      </c>
      <c r="BG148" s="79">
        <f t="shared" si="26"/>
        <v>0</v>
      </c>
      <c r="BH148" s="79">
        <f t="shared" si="27"/>
        <v>0</v>
      </c>
      <c r="BI148" s="79">
        <f t="shared" si="28"/>
        <v>0</v>
      </c>
      <c r="BJ148" s="79">
        <f t="shared" si="29"/>
        <v>0</v>
      </c>
    </row>
    <row r="149" spans="1:62" ht="55.2" x14ac:dyDescent="0.3">
      <c r="A149" s="12">
        <f>IF(ISBLANK($C149),"",MAX($A$95:$A148)+0.01)</f>
        <v>4.3499999999999925</v>
      </c>
      <c r="B149" s="69" t="s">
        <v>66</v>
      </c>
      <c r="C149" s="70" t="s">
        <v>133</v>
      </c>
      <c r="D149" s="44" t="s">
        <v>546</v>
      </c>
      <c r="E149" s="45" t="s">
        <v>44</v>
      </c>
      <c r="F149" s="44" t="s">
        <v>545</v>
      </c>
      <c r="G149" s="45" t="s">
        <v>94</v>
      </c>
      <c r="H149" s="46">
        <f t="shared" si="94"/>
        <v>3</v>
      </c>
      <c r="I149" s="45" t="s">
        <v>96</v>
      </c>
      <c r="J149" s="46">
        <f t="shared" si="95"/>
        <v>9</v>
      </c>
      <c r="K149" s="45"/>
      <c r="L149" s="46" t="str">
        <f t="shared" si="96"/>
        <v/>
      </c>
      <c r="M149" s="45"/>
      <c r="N149" s="46" t="str">
        <f t="shared" si="97"/>
        <v/>
      </c>
      <c r="O149" s="44" t="s">
        <v>531</v>
      </c>
      <c r="P149" s="45" t="s">
        <v>95</v>
      </c>
      <c r="Q149" s="46">
        <f t="shared" si="98"/>
        <v>6</v>
      </c>
      <c r="R149" s="53" t="str">
        <f t="shared" si="99"/>
        <v/>
      </c>
      <c r="S149" s="43" t="s">
        <v>547</v>
      </c>
      <c r="T149" s="43" t="s">
        <v>555</v>
      </c>
      <c r="U149" s="43"/>
      <c r="W149" s="37">
        <v>0</v>
      </c>
      <c r="X149" s="37">
        <v>0</v>
      </c>
      <c r="Y149" s="37">
        <v>0</v>
      </c>
      <c r="Z149" s="37">
        <v>0</v>
      </c>
      <c r="AA149" s="37">
        <v>0</v>
      </c>
      <c r="AB149" s="38">
        <v>0</v>
      </c>
      <c r="AC149" s="38">
        <v>0</v>
      </c>
      <c r="AD149" s="38">
        <v>0</v>
      </c>
      <c r="AE149" s="38">
        <v>0</v>
      </c>
      <c r="AF149" s="38">
        <v>0</v>
      </c>
      <c r="AG149" s="36">
        <f t="shared" si="100"/>
        <v>0</v>
      </c>
      <c r="AI149" s="56"/>
      <c r="AJ149" s="56"/>
      <c r="AK149" s="56"/>
      <c r="AL149" s="56"/>
      <c r="AM149" s="79">
        <f t="shared" si="10"/>
        <v>0</v>
      </c>
      <c r="AN149" s="79">
        <f t="shared" si="11"/>
        <v>0</v>
      </c>
      <c r="AO149" s="79">
        <f t="shared" si="12"/>
        <v>0</v>
      </c>
      <c r="AP149" s="79">
        <f t="shared" si="13"/>
        <v>0</v>
      </c>
      <c r="AQ149" s="79">
        <f t="shared" si="12"/>
        <v>0</v>
      </c>
      <c r="AR149" s="79">
        <f t="shared" si="13"/>
        <v>0</v>
      </c>
      <c r="AS149" s="79">
        <f t="shared" si="14"/>
        <v>0</v>
      </c>
      <c r="AT149" s="79">
        <f t="shared" si="15"/>
        <v>0</v>
      </c>
      <c r="AU149" s="79">
        <f t="shared" si="16"/>
        <v>0</v>
      </c>
      <c r="AV149" s="79">
        <f t="shared" si="17"/>
        <v>0</v>
      </c>
      <c r="AW149" s="79">
        <f t="shared" si="18"/>
        <v>3</v>
      </c>
      <c r="AX149" s="79">
        <f t="shared" si="19"/>
        <v>16</v>
      </c>
      <c r="AY149" s="79">
        <f t="shared" si="20"/>
        <v>0</v>
      </c>
      <c r="AZ149" s="79">
        <f t="shared" si="21"/>
        <v>0</v>
      </c>
      <c r="BA149" s="79">
        <f t="shared" si="22"/>
        <v>0</v>
      </c>
      <c r="BB149" s="79">
        <f t="shared" si="23"/>
        <v>0</v>
      </c>
      <c r="BC149" s="79">
        <f t="shared" si="22"/>
        <v>0</v>
      </c>
      <c r="BD149" s="79">
        <f t="shared" si="23"/>
        <v>0</v>
      </c>
      <c r="BE149" s="79">
        <f t="shared" si="24"/>
        <v>0</v>
      </c>
      <c r="BF149" s="79">
        <f t="shared" si="25"/>
        <v>0</v>
      </c>
      <c r="BG149" s="79">
        <f t="shared" si="26"/>
        <v>0</v>
      </c>
      <c r="BH149" s="79">
        <f t="shared" si="27"/>
        <v>0</v>
      </c>
      <c r="BI149" s="79">
        <f t="shared" si="28"/>
        <v>9</v>
      </c>
      <c r="BJ149" s="79">
        <f t="shared" si="29"/>
        <v>16</v>
      </c>
    </row>
    <row r="150" spans="1:62" x14ac:dyDescent="0.3">
      <c r="A150" s="12" t="str">
        <f>IF(ISBLANK($C150),"",MAX($A$95:$A149)+0.01)</f>
        <v/>
      </c>
      <c r="B150" s="52"/>
      <c r="C150" s="48"/>
      <c r="D150" s="44"/>
      <c r="E150" s="45"/>
      <c r="F150" s="44"/>
      <c r="G150" s="45"/>
      <c r="H150" s="46" t="str">
        <f t="shared" si="94"/>
        <v/>
      </c>
      <c r="I150" s="45"/>
      <c r="J150" s="46" t="str">
        <f t="shared" si="95"/>
        <v/>
      </c>
      <c r="K150" s="45"/>
      <c r="L150" s="46" t="str">
        <f t="shared" si="96"/>
        <v/>
      </c>
      <c r="M150" s="45"/>
      <c r="N150" s="46" t="str">
        <f t="shared" si="97"/>
        <v/>
      </c>
      <c r="O150" s="44"/>
      <c r="P150" s="45"/>
      <c r="Q150" s="46" t="str">
        <f t="shared" si="98"/>
        <v/>
      </c>
      <c r="R150" s="53" t="str">
        <f t="shared" si="99"/>
        <v/>
      </c>
      <c r="S150" s="43"/>
      <c r="T150" s="43"/>
      <c r="U150" s="43"/>
      <c r="W150" s="37">
        <v>0</v>
      </c>
      <c r="X150" s="37">
        <v>0</v>
      </c>
      <c r="Y150" s="37">
        <v>0</v>
      </c>
      <c r="Z150" s="37">
        <v>0</v>
      </c>
      <c r="AA150" s="37">
        <v>0</v>
      </c>
      <c r="AB150" s="38">
        <v>0</v>
      </c>
      <c r="AC150" s="38">
        <v>0</v>
      </c>
      <c r="AD150" s="38">
        <v>0</v>
      </c>
      <c r="AE150" s="38">
        <v>0</v>
      </c>
      <c r="AF150" s="38">
        <v>0</v>
      </c>
      <c r="AG150" s="36">
        <f t="shared" si="100"/>
        <v>0</v>
      </c>
      <c r="AI150" s="56"/>
      <c r="AJ150" s="56"/>
      <c r="AK150" s="56"/>
      <c r="AL150" s="56"/>
      <c r="AM150" s="79">
        <f t="shared" si="10"/>
        <v>0</v>
      </c>
      <c r="AN150" s="79">
        <f t="shared" si="11"/>
        <v>0</v>
      </c>
      <c r="AO150" s="79">
        <f t="shared" si="12"/>
        <v>0</v>
      </c>
      <c r="AP150" s="79">
        <f t="shared" si="13"/>
        <v>0</v>
      </c>
      <c r="AQ150" s="79">
        <f t="shared" si="12"/>
        <v>0</v>
      </c>
      <c r="AR150" s="79">
        <f t="shared" si="13"/>
        <v>0</v>
      </c>
      <c r="AS150" s="79">
        <f t="shared" si="14"/>
        <v>0</v>
      </c>
      <c r="AT150" s="79">
        <f t="shared" si="15"/>
        <v>0</v>
      </c>
      <c r="AU150" s="79">
        <f t="shared" si="16"/>
        <v>0</v>
      </c>
      <c r="AV150" s="79">
        <f t="shared" si="17"/>
        <v>0</v>
      </c>
      <c r="AW150" s="79">
        <f t="shared" si="18"/>
        <v>0</v>
      </c>
      <c r="AX150" s="79">
        <f t="shared" si="19"/>
        <v>0</v>
      </c>
      <c r="AY150" s="79">
        <f t="shared" si="20"/>
        <v>0</v>
      </c>
      <c r="AZ150" s="79">
        <f t="shared" si="21"/>
        <v>0</v>
      </c>
      <c r="BA150" s="79">
        <f t="shared" si="22"/>
        <v>0</v>
      </c>
      <c r="BB150" s="79">
        <f t="shared" si="23"/>
        <v>0</v>
      </c>
      <c r="BC150" s="79">
        <f t="shared" si="22"/>
        <v>0</v>
      </c>
      <c r="BD150" s="79">
        <f t="shared" si="23"/>
        <v>0</v>
      </c>
      <c r="BE150" s="79">
        <f t="shared" si="24"/>
        <v>0</v>
      </c>
      <c r="BF150" s="79">
        <f t="shared" si="25"/>
        <v>0</v>
      </c>
      <c r="BG150" s="79">
        <f t="shared" si="26"/>
        <v>0</v>
      </c>
      <c r="BH150" s="79">
        <f t="shared" si="27"/>
        <v>0</v>
      </c>
      <c r="BI150" s="79">
        <f t="shared" si="28"/>
        <v>0</v>
      </c>
      <c r="BJ150" s="79">
        <f t="shared" si="29"/>
        <v>0</v>
      </c>
    </row>
    <row r="151" spans="1:62" x14ac:dyDescent="0.3">
      <c r="A151" s="12" t="str">
        <f>IF(ISBLANK($C151),"",MAX($A$95:$A150)+0.01)</f>
        <v/>
      </c>
      <c r="B151" s="52"/>
      <c r="C151" s="48"/>
      <c r="D151" s="44"/>
      <c r="E151" s="45"/>
      <c r="F151" s="44"/>
      <c r="G151" s="45"/>
      <c r="H151" s="46" t="str">
        <f t="shared" si="94"/>
        <v/>
      </c>
      <c r="I151" s="45"/>
      <c r="J151" s="46" t="str">
        <f t="shared" si="95"/>
        <v/>
      </c>
      <c r="K151" s="45"/>
      <c r="L151" s="46" t="str">
        <f t="shared" si="96"/>
        <v/>
      </c>
      <c r="M151" s="45"/>
      <c r="N151" s="46" t="str">
        <f t="shared" si="97"/>
        <v/>
      </c>
      <c r="O151" s="44"/>
      <c r="P151" s="45"/>
      <c r="Q151" s="46" t="str">
        <f t="shared" si="98"/>
        <v/>
      </c>
      <c r="R151" s="53" t="str">
        <f t="shared" si="99"/>
        <v/>
      </c>
      <c r="S151" s="43"/>
      <c r="T151" s="43"/>
      <c r="U151" s="43"/>
      <c r="W151" s="37">
        <v>0</v>
      </c>
      <c r="X151" s="37">
        <v>0</v>
      </c>
      <c r="Y151" s="37">
        <v>0</v>
      </c>
      <c r="Z151" s="37">
        <v>0</v>
      </c>
      <c r="AA151" s="37">
        <v>0</v>
      </c>
      <c r="AB151" s="38">
        <v>0</v>
      </c>
      <c r="AC151" s="38">
        <v>0</v>
      </c>
      <c r="AD151" s="38">
        <v>0</v>
      </c>
      <c r="AE151" s="38">
        <v>0</v>
      </c>
      <c r="AF151" s="38">
        <v>0</v>
      </c>
      <c r="AG151" s="36">
        <f t="shared" si="100"/>
        <v>0</v>
      </c>
      <c r="AI151" s="56"/>
      <c r="AJ151" s="56"/>
      <c r="AK151" s="56"/>
      <c r="AL151" s="56"/>
      <c r="AM151" s="79">
        <f t="shared" si="10"/>
        <v>0</v>
      </c>
      <c r="AN151" s="79">
        <f t="shared" si="11"/>
        <v>0</v>
      </c>
      <c r="AO151" s="79">
        <f t="shared" si="12"/>
        <v>0</v>
      </c>
      <c r="AP151" s="79">
        <f t="shared" si="13"/>
        <v>0</v>
      </c>
      <c r="AQ151" s="79">
        <f t="shared" si="12"/>
        <v>0</v>
      </c>
      <c r="AR151" s="79">
        <f t="shared" si="13"/>
        <v>0</v>
      </c>
      <c r="AS151" s="79">
        <f t="shared" si="14"/>
        <v>0</v>
      </c>
      <c r="AT151" s="79">
        <f t="shared" si="15"/>
        <v>0</v>
      </c>
      <c r="AU151" s="79">
        <f t="shared" si="16"/>
        <v>0</v>
      </c>
      <c r="AV151" s="79">
        <f t="shared" si="17"/>
        <v>0</v>
      </c>
      <c r="AW151" s="79">
        <f t="shared" si="18"/>
        <v>0</v>
      </c>
      <c r="AX151" s="79">
        <f t="shared" si="19"/>
        <v>0</v>
      </c>
      <c r="AY151" s="79">
        <f t="shared" si="20"/>
        <v>0</v>
      </c>
      <c r="AZ151" s="79">
        <f t="shared" si="21"/>
        <v>0</v>
      </c>
      <c r="BA151" s="79">
        <f t="shared" si="22"/>
        <v>0</v>
      </c>
      <c r="BB151" s="79">
        <f t="shared" si="23"/>
        <v>0</v>
      </c>
      <c r="BC151" s="79">
        <f t="shared" si="22"/>
        <v>0</v>
      </c>
      <c r="BD151" s="79">
        <f t="shared" si="23"/>
        <v>0</v>
      </c>
      <c r="BE151" s="79">
        <f t="shared" si="24"/>
        <v>0</v>
      </c>
      <c r="BF151" s="79">
        <f t="shared" si="25"/>
        <v>0</v>
      </c>
      <c r="BG151" s="79">
        <f t="shared" si="26"/>
        <v>0</v>
      </c>
      <c r="BH151" s="79">
        <f t="shared" si="27"/>
        <v>0</v>
      </c>
      <c r="BI151" s="79">
        <f t="shared" si="28"/>
        <v>0</v>
      </c>
      <c r="BJ151" s="79">
        <f t="shared" si="29"/>
        <v>0</v>
      </c>
    </row>
    <row r="152" spans="1:62" x14ac:dyDescent="0.3">
      <c r="A152" s="12" t="str">
        <f>IF(ISBLANK($C152),"",MAX($A$95:$A151)+0.01)</f>
        <v/>
      </c>
      <c r="B152" s="52"/>
      <c r="C152" s="48"/>
      <c r="D152" s="44"/>
      <c r="E152" s="45"/>
      <c r="F152" s="44"/>
      <c r="G152" s="45"/>
      <c r="H152" s="46" t="str">
        <f t="shared" si="94"/>
        <v/>
      </c>
      <c r="I152" s="45"/>
      <c r="J152" s="46" t="str">
        <f t="shared" si="95"/>
        <v/>
      </c>
      <c r="K152" s="45"/>
      <c r="L152" s="46" t="str">
        <f t="shared" si="96"/>
        <v/>
      </c>
      <c r="M152" s="45"/>
      <c r="N152" s="46" t="str">
        <f t="shared" si="97"/>
        <v/>
      </c>
      <c r="O152" s="44"/>
      <c r="P152" s="45"/>
      <c r="Q152" s="46" t="str">
        <f t="shared" si="98"/>
        <v/>
      </c>
      <c r="R152" s="53" t="str">
        <f t="shared" si="99"/>
        <v/>
      </c>
      <c r="S152" s="43"/>
      <c r="T152" s="43"/>
      <c r="U152" s="43"/>
      <c r="W152" s="37">
        <v>0</v>
      </c>
      <c r="X152" s="37">
        <v>0</v>
      </c>
      <c r="Y152" s="37">
        <v>0</v>
      </c>
      <c r="Z152" s="37">
        <v>0</v>
      </c>
      <c r="AA152" s="37">
        <v>0</v>
      </c>
      <c r="AB152" s="38">
        <v>0</v>
      </c>
      <c r="AC152" s="38">
        <v>0</v>
      </c>
      <c r="AD152" s="38">
        <v>0</v>
      </c>
      <c r="AE152" s="38">
        <v>0</v>
      </c>
      <c r="AF152" s="38">
        <v>0</v>
      </c>
      <c r="AG152" s="36">
        <f t="shared" si="100"/>
        <v>0</v>
      </c>
      <c r="AI152" s="56"/>
      <c r="AJ152" s="56"/>
      <c r="AK152" s="56"/>
      <c r="AL152" s="56"/>
      <c r="AM152" s="79">
        <f t="shared" si="10"/>
        <v>0</v>
      </c>
      <c r="AN152" s="79">
        <f t="shared" si="11"/>
        <v>0</v>
      </c>
      <c r="AO152" s="79">
        <f t="shared" si="12"/>
        <v>0</v>
      </c>
      <c r="AP152" s="79">
        <f t="shared" si="13"/>
        <v>0</v>
      </c>
      <c r="AQ152" s="79">
        <f t="shared" si="12"/>
        <v>0</v>
      </c>
      <c r="AR152" s="79">
        <f t="shared" si="13"/>
        <v>0</v>
      </c>
      <c r="AS152" s="79">
        <f t="shared" si="14"/>
        <v>0</v>
      </c>
      <c r="AT152" s="79">
        <f t="shared" si="15"/>
        <v>0</v>
      </c>
      <c r="AU152" s="79">
        <f t="shared" si="16"/>
        <v>0</v>
      </c>
      <c r="AV152" s="79">
        <f t="shared" si="17"/>
        <v>0</v>
      </c>
      <c r="AW152" s="79">
        <f t="shared" si="18"/>
        <v>0</v>
      </c>
      <c r="AX152" s="79">
        <f t="shared" si="19"/>
        <v>0</v>
      </c>
      <c r="AY152" s="79">
        <f t="shared" si="20"/>
        <v>0</v>
      </c>
      <c r="AZ152" s="79">
        <f t="shared" si="21"/>
        <v>0</v>
      </c>
      <c r="BA152" s="79">
        <f t="shared" si="22"/>
        <v>0</v>
      </c>
      <c r="BB152" s="79">
        <f t="shared" si="23"/>
        <v>0</v>
      </c>
      <c r="BC152" s="79">
        <f t="shared" si="22"/>
        <v>0</v>
      </c>
      <c r="BD152" s="79">
        <f t="shared" si="23"/>
        <v>0</v>
      </c>
      <c r="BE152" s="79">
        <f t="shared" si="24"/>
        <v>0</v>
      </c>
      <c r="BF152" s="79">
        <f t="shared" si="25"/>
        <v>0</v>
      </c>
      <c r="BG152" s="79">
        <f t="shared" si="26"/>
        <v>0</v>
      </c>
      <c r="BH152" s="79">
        <f t="shared" si="27"/>
        <v>0</v>
      </c>
      <c r="BI152" s="79">
        <f t="shared" si="28"/>
        <v>0</v>
      </c>
      <c r="BJ152" s="79">
        <f t="shared" si="29"/>
        <v>0</v>
      </c>
    </row>
    <row r="153" spans="1:62" x14ac:dyDescent="0.3">
      <c r="A153" s="12" t="str">
        <f>IF(ISBLANK($C153),"",MAX($A$95:$A152)+0.01)</f>
        <v/>
      </c>
      <c r="B153" s="52"/>
      <c r="C153" s="48"/>
      <c r="D153" s="44"/>
      <c r="E153" s="45"/>
      <c r="F153" s="44"/>
      <c r="G153" s="45"/>
      <c r="H153" s="46" t="str">
        <f t="shared" si="94"/>
        <v/>
      </c>
      <c r="I153" s="45"/>
      <c r="J153" s="46" t="str">
        <f t="shared" si="95"/>
        <v/>
      </c>
      <c r="K153" s="45"/>
      <c r="L153" s="46" t="str">
        <f t="shared" si="96"/>
        <v/>
      </c>
      <c r="M153" s="45"/>
      <c r="N153" s="46" t="str">
        <f t="shared" si="97"/>
        <v/>
      </c>
      <c r="O153" s="44"/>
      <c r="P153" s="45"/>
      <c r="Q153" s="46" t="str">
        <f t="shared" si="98"/>
        <v/>
      </c>
      <c r="R153" s="53" t="str">
        <f t="shared" si="99"/>
        <v/>
      </c>
      <c r="S153" s="43"/>
      <c r="T153" s="43"/>
      <c r="U153" s="43"/>
      <c r="W153" s="37">
        <v>0</v>
      </c>
      <c r="X153" s="37">
        <v>0</v>
      </c>
      <c r="Y153" s="37">
        <v>0</v>
      </c>
      <c r="Z153" s="37">
        <v>0</v>
      </c>
      <c r="AA153" s="37">
        <v>0</v>
      </c>
      <c r="AB153" s="38">
        <v>0</v>
      </c>
      <c r="AC153" s="38">
        <v>0</v>
      </c>
      <c r="AD153" s="38">
        <v>0</v>
      </c>
      <c r="AE153" s="38">
        <v>0</v>
      </c>
      <c r="AF153" s="38">
        <v>0</v>
      </c>
      <c r="AG153" s="36">
        <f t="shared" si="100"/>
        <v>0</v>
      </c>
      <c r="AI153" s="56"/>
      <c r="AJ153" s="56"/>
      <c r="AK153" s="56"/>
      <c r="AL153" s="56"/>
      <c r="AM153" s="79">
        <f t="shared" si="10"/>
        <v>0</v>
      </c>
      <c r="AN153" s="79">
        <f t="shared" si="11"/>
        <v>0</v>
      </c>
      <c r="AO153" s="79">
        <f t="shared" si="12"/>
        <v>0</v>
      </c>
      <c r="AP153" s="79">
        <f t="shared" si="13"/>
        <v>0</v>
      </c>
      <c r="AQ153" s="79">
        <f t="shared" si="12"/>
        <v>0</v>
      </c>
      <c r="AR153" s="79">
        <f t="shared" si="13"/>
        <v>0</v>
      </c>
      <c r="AS153" s="79">
        <f t="shared" si="14"/>
        <v>0</v>
      </c>
      <c r="AT153" s="79">
        <f t="shared" si="15"/>
        <v>0</v>
      </c>
      <c r="AU153" s="79">
        <f t="shared" si="16"/>
        <v>0</v>
      </c>
      <c r="AV153" s="79">
        <f t="shared" si="17"/>
        <v>0</v>
      </c>
      <c r="AW153" s="79">
        <f t="shared" si="18"/>
        <v>0</v>
      </c>
      <c r="AX153" s="79">
        <f t="shared" si="19"/>
        <v>0</v>
      </c>
      <c r="AY153" s="79">
        <f t="shared" si="20"/>
        <v>0</v>
      </c>
      <c r="AZ153" s="79">
        <f t="shared" si="21"/>
        <v>0</v>
      </c>
      <c r="BA153" s="79">
        <f t="shared" si="22"/>
        <v>0</v>
      </c>
      <c r="BB153" s="79">
        <f t="shared" si="23"/>
        <v>0</v>
      </c>
      <c r="BC153" s="79">
        <f t="shared" si="22"/>
        <v>0</v>
      </c>
      <c r="BD153" s="79">
        <f t="shared" si="23"/>
        <v>0</v>
      </c>
      <c r="BE153" s="79">
        <f t="shared" si="24"/>
        <v>0</v>
      </c>
      <c r="BF153" s="79">
        <f t="shared" si="25"/>
        <v>0</v>
      </c>
      <c r="BG153" s="79">
        <f t="shared" si="26"/>
        <v>0</v>
      </c>
      <c r="BH153" s="79">
        <f t="shared" si="27"/>
        <v>0</v>
      </c>
      <c r="BI153" s="79">
        <f t="shared" si="28"/>
        <v>0</v>
      </c>
      <c r="BJ153" s="79">
        <f t="shared" si="29"/>
        <v>0</v>
      </c>
    </row>
    <row r="154" spans="1:62" ht="24" customHeight="1" x14ac:dyDescent="0.3">
      <c r="A154" s="20"/>
      <c r="B154" s="234" t="s">
        <v>135</v>
      </c>
      <c r="C154" s="234"/>
      <c r="D154" s="234"/>
      <c r="E154" s="234"/>
      <c r="F154" s="234"/>
      <c r="G154" s="234"/>
      <c r="H154" s="234"/>
      <c r="I154" s="234"/>
      <c r="J154" s="234"/>
      <c r="K154" s="234"/>
      <c r="L154" s="234"/>
      <c r="M154" s="234"/>
      <c r="N154" s="234"/>
      <c r="O154" s="234"/>
      <c r="P154" s="234"/>
      <c r="Q154" s="234"/>
      <c r="R154" s="234"/>
      <c r="S154" s="234"/>
      <c r="T154" s="234"/>
      <c r="U154" s="234"/>
      <c r="AI154" s="56"/>
      <c r="AJ154" s="56"/>
      <c r="AK154" s="56"/>
      <c r="AL154" s="56"/>
      <c r="AM154" s="79">
        <f t="shared" si="10"/>
        <v>0</v>
      </c>
      <c r="AN154" s="79">
        <f t="shared" si="11"/>
        <v>0</v>
      </c>
      <c r="AO154" s="79">
        <f t="shared" si="12"/>
        <v>0</v>
      </c>
      <c r="AP154" s="79">
        <f t="shared" si="13"/>
        <v>0</v>
      </c>
      <c r="AQ154" s="79">
        <f t="shared" si="12"/>
        <v>0</v>
      </c>
      <c r="AR154" s="79">
        <f t="shared" si="13"/>
        <v>0</v>
      </c>
      <c r="AS154" s="79">
        <f t="shared" si="14"/>
        <v>0</v>
      </c>
      <c r="AT154" s="79">
        <f t="shared" si="15"/>
        <v>0</v>
      </c>
      <c r="AU154" s="79">
        <f t="shared" si="16"/>
        <v>0</v>
      </c>
      <c r="AV154" s="79">
        <f t="shared" si="17"/>
        <v>0</v>
      </c>
      <c r="AW154" s="79">
        <f t="shared" si="18"/>
        <v>0</v>
      </c>
      <c r="AX154" s="79">
        <f t="shared" si="19"/>
        <v>0</v>
      </c>
      <c r="AY154" s="79">
        <f t="shared" si="20"/>
        <v>0</v>
      </c>
      <c r="AZ154" s="79">
        <f t="shared" si="21"/>
        <v>0</v>
      </c>
      <c r="BA154" s="79">
        <f t="shared" si="22"/>
        <v>0</v>
      </c>
      <c r="BB154" s="79">
        <f t="shared" si="23"/>
        <v>0</v>
      </c>
      <c r="BC154" s="79">
        <f t="shared" si="22"/>
        <v>0</v>
      </c>
      <c r="BD154" s="79">
        <f t="shared" si="23"/>
        <v>0</v>
      </c>
      <c r="BE154" s="79">
        <f t="shared" si="24"/>
        <v>0</v>
      </c>
      <c r="BF154" s="79">
        <f t="shared" si="25"/>
        <v>0</v>
      </c>
      <c r="BG154" s="79">
        <f t="shared" si="26"/>
        <v>0</v>
      </c>
      <c r="BH154" s="79">
        <f t="shared" si="27"/>
        <v>0</v>
      </c>
      <c r="BI154" s="79">
        <f t="shared" si="28"/>
        <v>0</v>
      </c>
      <c r="BJ154" s="79">
        <f t="shared" si="29"/>
        <v>0</v>
      </c>
    </row>
    <row r="155" spans="1:62" ht="138" x14ac:dyDescent="0.3">
      <c r="A155" s="12">
        <f>IF(ISBLANK($C155),"",MAX($A$95:$A154)+0.01)</f>
        <v>4.3599999999999923</v>
      </c>
      <c r="B155" s="65" t="s">
        <v>71</v>
      </c>
      <c r="C155" s="66" t="s">
        <v>137</v>
      </c>
      <c r="D155" s="44" t="s">
        <v>567</v>
      </c>
      <c r="E155" s="45" t="s">
        <v>44</v>
      </c>
      <c r="F155" s="44" t="s">
        <v>568</v>
      </c>
      <c r="G155" s="45" t="s">
        <v>94</v>
      </c>
      <c r="H155" s="46">
        <f t="shared" ref="H155:H168" si="101">IFERROR(VLOOKUP($E155,$D$199:$E$203,2,FALSE)*VLOOKUP($G155,$D$206:$E$210,2,FALSE),"")</f>
        <v>3</v>
      </c>
      <c r="I155" s="45" t="s">
        <v>95</v>
      </c>
      <c r="J155" s="46">
        <f t="shared" ref="J155:J168" si="102">IFERROR(VLOOKUP($E155,$D$199:$E$203,2,FALSE)*VLOOKUP($I155,$D$213:$E$217,2,FALSE),"")</f>
        <v>6</v>
      </c>
      <c r="K155" s="45"/>
      <c r="L155" s="46" t="str">
        <f t="shared" ref="L155:L168" si="103">IFERROR(VLOOKUP($E155,$D$199:$E$203,2,FALSE)*VLOOKUP($K155,$D$220:$E$224,2,FALSE),"")</f>
        <v/>
      </c>
      <c r="M155" s="45"/>
      <c r="N155" s="46" t="str">
        <f t="shared" ref="N155:N168" si="104">IFERROR(VLOOKUP($E155,$D$199:$E$203,2,FALSE)*VLOOKUP($M155,$D$227:$E$231,2,FALSE),"")</f>
        <v/>
      </c>
      <c r="O155" s="44" t="s">
        <v>566</v>
      </c>
      <c r="P155" s="45" t="s">
        <v>95</v>
      </c>
      <c r="Q155" s="46">
        <f t="shared" ref="Q155:Q168" si="105">IFERROR(VLOOKUP($E155,$D$199:$E$203,2,FALSE)*VLOOKUP($P155,$D$234:$E$238,2,FALSE),"")</f>
        <v>6</v>
      </c>
      <c r="R155" s="53" t="str">
        <f t="shared" ref="R155:R168" si="106">IF(LEFT($D$16,3)="Yes",IF(IFERROR(FIND("DP",$B155),0)&gt;0,IF(_xlfn.NUMBERVALUE($Q155)&gt;=$N$235,"High",IF(_xlfn.NUMBERVALUE($Q155)&gt;=$N$234,"Medium",IF(_xlfn.NUMBERVALUE($Q155)&gt;0,"Low",IF($P155="N/A","","make choice")))),""),"")</f>
        <v>Medium</v>
      </c>
      <c r="S155" s="43" t="s">
        <v>549</v>
      </c>
      <c r="T155" s="43" t="s">
        <v>555</v>
      </c>
      <c r="U155" s="43"/>
      <c r="W155" s="37">
        <v>0</v>
      </c>
      <c r="X155" s="37">
        <v>0</v>
      </c>
      <c r="Y155" s="37">
        <v>0</v>
      </c>
      <c r="Z155" s="37">
        <v>0</v>
      </c>
      <c r="AA155" s="37">
        <v>0</v>
      </c>
      <c r="AB155" s="38">
        <v>0</v>
      </c>
      <c r="AC155" s="38">
        <v>0</v>
      </c>
      <c r="AD155" s="38">
        <v>0</v>
      </c>
      <c r="AE155" s="38">
        <v>0</v>
      </c>
      <c r="AF155" s="38">
        <v>0</v>
      </c>
      <c r="AG155" s="36">
        <f>IF($AG$100=5,SUM(AB155:AF155),IF($AG$100=4,SUM(AB155:AE155),IF($AG$100=3,SUM(AB155:AD155),IF($AG$100=2,SUM(AB155:AC155),AB155))))/$AG$100</f>
        <v>0</v>
      </c>
      <c r="AI155" s="56"/>
      <c r="AJ155" s="56"/>
      <c r="AK155" s="56"/>
      <c r="AL155" s="56"/>
      <c r="AM155" s="79">
        <f t="shared" si="10"/>
        <v>3</v>
      </c>
      <c r="AN155" s="79">
        <f t="shared" si="11"/>
        <v>16</v>
      </c>
      <c r="AO155" s="79">
        <f t="shared" si="12"/>
        <v>0</v>
      </c>
      <c r="AP155" s="79">
        <f t="shared" si="13"/>
        <v>0</v>
      </c>
      <c r="AQ155" s="79">
        <f t="shared" si="12"/>
        <v>0</v>
      </c>
      <c r="AR155" s="79">
        <f t="shared" si="13"/>
        <v>0</v>
      </c>
      <c r="AS155" s="79">
        <f t="shared" si="14"/>
        <v>0</v>
      </c>
      <c r="AT155" s="79">
        <f t="shared" si="15"/>
        <v>0</v>
      </c>
      <c r="AU155" s="79">
        <f t="shared" si="16"/>
        <v>3</v>
      </c>
      <c r="AV155" s="79">
        <f t="shared" si="17"/>
        <v>16</v>
      </c>
      <c r="AW155" s="79">
        <f t="shared" si="18"/>
        <v>0</v>
      </c>
      <c r="AX155" s="79">
        <f t="shared" si="19"/>
        <v>0</v>
      </c>
      <c r="AY155" s="79">
        <f t="shared" si="20"/>
        <v>6</v>
      </c>
      <c r="AZ155" s="79">
        <f t="shared" si="21"/>
        <v>16</v>
      </c>
      <c r="BA155" s="79">
        <f t="shared" si="22"/>
        <v>0</v>
      </c>
      <c r="BB155" s="79">
        <f t="shared" si="23"/>
        <v>0</v>
      </c>
      <c r="BC155" s="79">
        <f t="shared" si="22"/>
        <v>0</v>
      </c>
      <c r="BD155" s="79">
        <f t="shared" si="23"/>
        <v>0</v>
      </c>
      <c r="BE155" s="79">
        <f t="shared" si="24"/>
        <v>0</v>
      </c>
      <c r="BF155" s="79">
        <f t="shared" si="25"/>
        <v>0</v>
      </c>
      <c r="BG155" s="79">
        <f t="shared" si="26"/>
        <v>6</v>
      </c>
      <c r="BH155" s="79">
        <f t="shared" si="27"/>
        <v>16</v>
      </c>
      <c r="BI155" s="79">
        <f t="shared" si="28"/>
        <v>0</v>
      </c>
      <c r="BJ155" s="79">
        <f t="shared" si="29"/>
        <v>0</v>
      </c>
    </row>
    <row r="156" spans="1:62" ht="110.4" x14ac:dyDescent="0.3">
      <c r="A156" s="12">
        <f>IF(ISBLANK($C156),"",MAX($A$95:$A155)+0.01)</f>
        <v>4.3699999999999921</v>
      </c>
      <c r="B156" s="65" t="s">
        <v>71</v>
      </c>
      <c r="C156" s="66" t="s">
        <v>138</v>
      </c>
      <c r="D156" s="44" t="s">
        <v>550</v>
      </c>
      <c r="E156" s="45" t="s">
        <v>44</v>
      </c>
      <c r="F156" s="44" t="s">
        <v>548</v>
      </c>
      <c r="G156" s="45" t="s">
        <v>94</v>
      </c>
      <c r="H156" s="46">
        <f t="shared" si="101"/>
        <v>3</v>
      </c>
      <c r="I156" s="45" t="s">
        <v>94</v>
      </c>
      <c r="J156" s="46">
        <f t="shared" si="102"/>
        <v>3</v>
      </c>
      <c r="K156" s="45"/>
      <c r="L156" s="46" t="str">
        <f t="shared" si="103"/>
        <v/>
      </c>
      <c r="M156" s="45"/>
      <c r="N156" s="46" t="str">
        <f t="shared" si="104"/>
        <v/>
      </c>
      <c r="O156" s="44" t="s">
        <v>566</v>
      </c>
      <c r="P156" s="45" t="s">
        <v>95</v>
      </c>
      <c r="Q156" s="46">
        <f t="shared" si="105"/>
        <v>6</v>
      </c>
      <c r="R156" s="53" t="str">
        <f t="shared" si="106"/>
        <v>Medium</v>
      </c>
      <c r="S156" s="43"/>
      <c r="T156" s="43" t="s">
        <v>174</v>
      </c>
      <c r="U156" s="43" t="s">
        <v>476</v>
      </c>
      <c r="W156" s="37">
        <v>0</v>
      </c>
      <c r="X156" s="37">
        <v>0</v>
      </c>
      <c r="Y156" s="37">
        <v>0</v>
      </c>
      <c r="Z156" s="37">
        <v>0</v>
      </c>
      <c r="AA156" s="37">
        <v>0</v>
      </c>
      <c r="AB156" s="38">
        <v>0</v>
      </c>
      <c r="AC156" s="38">
        <v>0</v>
      </c>
      <c r="AD156" s="38">
        <v>0</v>
      </c>
      <c r="AE156" s="38">
        <v>0</v>
      </c>
      <c r="AF156" s="38">
        <v>0</v>
      </c>
      <c r="AG156" s="36">
        <f t="shared" ref="AG156" si="107">IF($AG$100=5,SUM(AB156:AF156),IF($AG$100=4,SUM(AB156:AE156),IF($AG$100=3,SUM(AB156:AD156),IF($AG$100=2,SUM(AB156:AC156),AB156))))/$AG$100</f>
        <v>0</v>
      </c>
      <c r="AI156" s="56"/>
      <c r="AJ156" s="56"/>
      <c r="AK156" s="56"/>
      <c r="AL156" s="56"/>
      <c r="AM156" s="79">
        <f t="shared" si="10"/>
        <v>3</v>
      </c>
      <c r="AN156" s="79">
        <f t="shared" si="11"/>
        <v>16</v>
      </c>
      <c r="AO156" s="79">
        <f t="shared" si="12"/>
        <v>0</v>
      </c>
      <c r="AP156" s="79">
        <f t="shared" si="13"/>
        <v>0</v>
      </c>
      <c r="AQ156" s="79">
        <f t="shared" si="12"/>
        <v>0</v>
      </c>
      <c r="AR156" s="79">
        <f t="shared" si="13"/>
        <v>0</v>
      </c>
      <c r="AS156" s="79">
        <f t="shared" si="14"/>
        <v>0</v>
      </c>
      <c r="AT156" s="79">
        <f t="shared" si="15"/>
        <v>0</v>
      </c>
      <c r="AU156" s="79">
        <f t="shared" si="16"/>
        <v>3</v>
      </c>
      <c r="AV156" s="79">
        <f t="shared" si="17"/>
        <v>16</v>
      </c>
      <c r="AW156" s="79">
        <f t="shared" si="18"/>
        <v>0</v>
      </c>
      <c r="AX156" s="79">
        <f t="shared" si="19"/>
        <v>0</v>
      </c>
      <c r="AY156" s="79">
        <f t="shared" si="20"/>
        <v>3</v>
      </c>
      <c r="AZ156" s="79">
        <f t="shared" si="21"/>
        <v>16</v>
      </c>
      <c r="BA156" s="79">
        <f t="shared" si="22"/>
        <v>0</v>
      </c>
      <c r="BB156" s="79">
        <f t="shared" si="23"/>
        <v>0</v>
      </c>
      <c r="BC156" s="79">
        <f t="shared" si="22"/>
        <v>0</v>
      </c>
      <c r="BD156" s="79">
        <f t="shared" si="23"/>
        <v>0</v>
      </c>
      <c r="BE156" s="79">
        <f t="shared" si="24"/>
        <v>0</v>
      </c>
      <c r="BF156" s="79">
        <f t="shared" si="25"/>
        <v>0</v>
      </c>
      <c r="BG156" s="79">
        <f t="shared" si="26"/>
        <v>3</v>
      </c>
      <c r="BH156" s="79">
        <f t="shared" si="27"/>
        <v>16</v>
      </c>
      <c r="BI156" s="79">
        <f t="shared" si="28"/>
        <v>0</v>
      </c>
      <c r="BJ156" s="79">
        <f t="shared" si="29"/>
        <v>0</v>
      </c>
    </row>
    <row r="157" spans="1:62" ht="138" x14ac:dyDescent="0.3">
      <c r="A157" s="12">
        <f>IF(ISBLANK($C157),"",MAX($A$95:$A156)+0.01)</f>
        <v>4.3799999999999919</v>
      </c>
      <c r="B157" s="65" t="s">
        <v>71</v>
      </c>
      <c r="C157" s="66" t="s">
        <v>658</v>
      </c>
      <c r="D157" s="44" t="s">
        <v>551</v>
      </c>
      <c r="E157" s="45" t="s">
        <v>42</v>
      </c>
      <c r="F157" s="44" t="s">
        <v>552</v>
      </c>
      <c r="G157" s="45" t="s">
        <v>94</v>
      </c>
      <c r="H157" s="46">
        <f t="shared" si="101"/>
        <v>2</v>
      </c>
      <c r="I157" s="45" t="s">
        <v>95</v>
      </c>
      <c r="J157" s="46">
        <f t="shared" si="102"/>
        <v>4</v>
      </c>
      <c r="K157" s="45"/>
      <c r="L157" s="46" t="str">
        <f t="shared" si="103"/>
        <v/>
      </c>
      <c r="M157" s="45"/>
      <c r="N157" s="46" t="str">
        <f t="shared" si="104"/>
        <v/>
      </c>
      <c r="O157" s="44" t="s">
        <v>566</v>
      </c>
      <c r="P157" s="45" t="s">
        <v>95</v>
      </c>
      <c r="Q157" s="46">
        <f t="shared" si="105"/>
        <v>4</v>
      </c>
      <c r="R157" s="53" t="str">
        <f t="shared" si="106"/>
        <v>Low</v>
      </c>
      <c r="S157" s="43" t="s">
        <v>553</v>
      </c>
      <c r="T157" s="43" t="s">
        <v>555</v>
      </c>
      <c r="U157" s="43"/>
      <c r="W157" s="37">
        <v>0</v>
      </c>
      <c r="X157" s="37">
        <v>0</v>
      </c>
      <c r="Y157" s="37">
        <v>0</v>
      </c>
      <c r="Z157" s="37">
        <v>0</v>
      </c>
      <c r="AA157" s="37">
        <v>0</v>
      </c>
      <c r="AB157" s="38">
        <v>0</v>
      </c>
      <c r="AC157" s="38">
        <v>0</v>
      </c>
      <c r="AD157" s="38">
        <v>0</v>
      </c>
      <c r="AE157" s="38">
        <v>0</v>
      </c>
      <c r="AF157" s="38">
        <v>0</v>
      </c>
      <c r="AG157" s="36">
        <f>IF($AG$100=5,SUM(AB157:AF157),IF($AG$100=4,SUM(AB157:AE157),IF($AG$100=3,SUM(AB157:AD157),IF($AG$100=2,SUM(AB157:AC157),AB157))))/$AG$100</f>
        <v>0</v>
      </c>
      <c r="AI157" s="56"/>
      <c r="AJ157" s="56"/>
      <c r="AK157" s="56"/>
      <c r="AL157" s="56"/>
      <c r="AM157" s="79">
        <f t="shared" si="10"/>
        <v>2</v>
      </c>
      <c r="AN157" s="79">
        <f t="shared" si="11"/>
        <v>16</v>
      </c>
      <c r="AO157" s="79">
        <f t="shared" si="12"/>
        <v>0</v>
      </c>
      <c r="AP157" s="79">
        <f t="shared" si="13"/>
        <v>0</v>
      </c>
      <c r="AQ157" s="79">
        <f t="shared" si="12"/>
        <v>0</v>
      </c>
      <c r="AR157" s="79">
        <f t="shared" si="13"/>
        <v>0</v>
      </c>
      <c r="AS157" s="79">
        <f t="shared" si="14"/>
        <v>0</v>
      </c>
      <c r="AT157" s="79">
        <f t="shared" si="15"/>
        <v>0</v>
      </c>
      <c r="AU157" s="79">
        <f t="shared" si="16"/>
        <v>2</v>
      </c>
      <c r="AV157" s="79">
        <f t="shared" si="17"/>
        <v>16</v>
      </c>
      <c r="AW157" s="79">
        <f t="shared" si="18"/>
        <v>0</v>
      </c>
      <c r="AX157" s="79">
        <f t="shared" si="19"/>
        <v>0</v>
      </c>
      <c r="AY157" s="79">
        <f t="shared" si="20"/>
        <v>4</v>
      </c>
      <c r="AZ157" s="79">
        <f t="shared" si="21"/>
        <v>16</v>
      </c>
      <c r="BA157" s="79">
        <f t="shared" si="22"/>
        <v>0</v>
      </c>
      <c r="BB157" s="79">
        <f t="shared" si="23"/>
        <v>0</v>
      </c>
      <c r="BC157" s="79">
        <f t="shared" si="22"/>
        <v>0</v>
      </c>
      <c r="BD157" s="79">
        <f t="shared" si="23"/>
        <v>0</v>
      </c>
      <c r="BE157" s="79">
        <f t="shared" si="24"/>
        <v>0</v>
      </c>
      <c r="BF157" s="79">
        <f t="shared" si="25"/>
        <v>0</v>
      </c>
      <c r="BG157" s="79">
        <f t="shared" si="26"/>
        <v>4</v>
      </c>
      <c r="BH157" s="79">
        <f t="shared" si="27"/>
        <v>16</v>
      </c>
      <c r="BI157" s="79">
        <f t="shared" si="28"/>
        <v>0</v>
      </c>
      <c r="BJ157" s="79">
        <f t="shared" si="29"/>
        <v>0</v>
      </c>
    </row>
    <row r="158" spans="1:62" ht="124.2" x14ac:dyDescent="0.3">
      <c r="A158" s="12">
        <f>IF(ISBLANK($C158),"",MAX($A$95:$A157)+0.01)</f>
        <v>4.3899999999999917</v>
      </c>
      <c r="B158" s="65" t="s">
        <v>132</v>
      </c>
      <c r="C158" s="70" t="s">
        <v>157</v>
      </c>
      <c r="D158" s="44" t="s">
        <v>556</v>
      </c>
      <c r="E158" s="45" t="s">
        <v>42</v>
      </c>
      <c r="F158" s="44" t="s">
        <v>557</v>
      </c>
      <c r="G158" s="45" t="s">
        <v>94</v>
      </c>
      <c r="H158" s="46">
        <f t="shared" si="101"/>
        <v>2</v>
      </c>
      <c r="I158" s="45" t="s">
        <v>96</v>
      </c>
      <c r="J158" s="46">
        <f t="shared" si="102"/>
        <v>6</v>
      </c>
      <c r="K158" s="45"/>
      <c r="L158" s="46" t="str">
        <f t="shared" si="103"/>
        <v/>
      </c>
      <c r="M158" s="45"/>
      <c r="N158" s="46" t="str">
        <f t="shared" si="104"/>
        <v/>
      </c>
      <c r="O158" s="44" t="s">
        <v>565</v>
      </c>
      <c r="P158" s="45" t="s">
        <v>96</v>
      </c>
      <c r="Q158" s="46">
        <f t="shared" si="105"/>
        <v>6</v>
      </c>
      <c r="R158" s="53" t="str">
        <f t="shared" si="106"/>
        <v>Medium</v>
      </c>
      <c r="S158" s="43" t="s">
        <v>558</v>
      </c>
      <c r="T158" s="43" t="s">
        <v>555</v>
      </c>
      <c r="U158" s="43"/>
      <c r="W158" s="37">
        <v>0</v>
      </c>
      <c r="X158" s="37">
        <v>0</v>
      </c>
      <c r="Y158" s="37">
        <v>0</v>
      </c>
      <c r="Z158" s="37">
        <v>0</v>
      </c>
      <c r="AA158" s="37">
        <v>0</v>
      </c>
      <c r="AB158" s="38">
        <v>0</v>
      </c>
      <c r="AC158" s="38">
        <v>0</v>
      </c>
      <c r="AD158" s="38">
        <v>0</v>
      </c>
      <c r="AE158" s="38">
        <v>0</v>
      </c>
      <c r="AF158" s="38">
        <v>0</v>
      </c>
      <c r="AG158" s="36">
        <f t="shared" ref="AG158:AG168" si="108">IF($AG$100=5,SUM(AB158:AF158),IF($AG$100=4,SUM(AB158:AE158),IF($AG$100=3,SUM(AB158:AD158),IF($AG$100=2,SUM(AB158:AC158),AB158))))/$AG$100</f>
        <v>0</v>
      </c>
      <c r="AI158" s="56"/>
      <c r="AJ158" s="56"/>
      <c r="AK158" s="56"/>
      <c r="AL158" s="56"/>
      <c r="AM158" s="79">
        <f t="shared" si="10"/>
        <v>2</v>
      </c>
      <c r="AN158" s="79">
        <f t="shared" si="11"/>
        <v>16</v>
      </c>
      <c r="AO158" s="79">
        <f t="shared" si="12"/>
        <v>0</v>
      </c>
      <c r="AP158" s="79">
        <f t="shared" si="13"/>
        <v>0</v>
      </c>
      <c r="AQ158" s="79">
        <f t="shared" si="12"/>
        <v>0</v>
      </c>
      <c r="AR158" s="79">
        <f t="shared" si="13"/>
        <v>0</v>
      </c>
      <c r="AS158" s="79">
        <f t="shared" si="14"/>
        <v>2</v>
      </c>
      <c r="AT158" s="79">
        <f t="shared" si="15"/>
        <v>16</v>
      </c>
      <c r="AU158" s="79">
        <f t="shared" si="16"/>
        <v>0</v>
      </c>
      <c r="AV158" s="79">
        <f t="shared" si="17"/>
        <v>0</v>
      </c>
      <c r="AW158" s="79">
        <f t="shared" si="18"/>
        <v>0</v>
      </c>
      <c r="AX158" s="79">
        <f t="shared" si="19"/>
        <v>0</v>
      </c>
      <c r="AY158" s="79">
        <f t="shared" si="20"/>
        <v>6</v>
      </c>
      <c r="AZ158" s="79">
        <f t="shared" si="21"/>
        <v>16</v>
      </c>
      <c r="BA158" s="79">
        <f t="shared" si="22"/>
        <v>0</v>
      </c>
      <c r="BB158" s="79">
        <f t="shared" si="23"/>
        <v>0</v>
      </c>
      <c r="BC158" s="79">
        <f t="shared" si="22"/>
        <v>0</v>
      </c>
      <c r="BD158" s="79">
        <f t="shared" si="23"/>
        <v>0</v>
      </c>
      <c r="BE158" s="79">
        <f t="shared" si="24"/>
        <v>6</v>
      </c>
      <c r="BF158" s="79">
        <f t="shared" si="25"/>
        <v>16</v>
      </c>
      <c r="BG158" s="79">
        <f t="shared" si="26"/>
        <v>0</v>
      </c>
      <c r="BH158" s="79">
        <f t="shared" si="27"/>
        <v>0</v>
      </c>
      <c r="BI158" s="79">
        <f t="shared" si="28"/>
        <v>0</v>
      </c>
      <c r="BJ158" s="79">
        <f t="shared" si="29"/>
        <v>0</v>
      </c>
    </row>
    <row r="159" spans="1:62" ht="69" x14ac:dyDescent="0.3">
      <c r="A159" s="12">
        <f>IF(ISBLANK($C159),"",MAX($A$95:$A158)+0.01)</f>
        <v>4.3999999999999915</v>
      </c>
      <c r="B159" s="65" t="s">
        <v>13</v>
      </c>
      <c r="C159" s="70" t="s">
        <v>156</v>
      </c>
      <c r="D159" s="44" t="s">
        <v>559</v>
      </c>
      <c r="E159" s="45" t="s">
        <v>91</v>
      </c>
      <c r="F159" s="44"/>
      <c r="G159" s="45"/>
      <c r="H159" s="46" t="str">
        <f t="shared" si="101"/>
        <v/>
      </c>
      <c r="I159" s="45"/>
      <c r="J159" s="46" t="str">
        <f t="shared" si="102"/>
        <v/>
      </c>
      <c r="K159" s="45"/>
      <c r="L159" s="46" t="str">
        <f t="shared" si="103"/>
        <v/>
      </c>
      <c r="M159" s="45"/>
      <c r="N159" s="46" t="str">
        <f t="shared" si="104"/>
        <v/>
      </c>
      <c r="O159" s="44"/>
      <c r="P159" s="45"/>
      <c r="Q159" s="46" t="str">
        <f t="shared" si="105"/>
        <v/>
      </c>
      <c r="R159" s="53" t="str">
        <f t="shared" si="106"/>
        <v/>
      </c>
      <c r="S159" s="43"/>
      <c r="T159" s="43" t="s">
        <v>174</v>
      </c>
      <c r="U159" s="43" t="s">
        <v>476</v>
      </c>
      <c r="W159" s="37">
        <v>0</v>
      </c>
      <c r="X159" s="37">
        <v>0</v>
      </c>
      <c r="Y159" s="37">
        <v>0</v>
      </c>
      <c r="Z159" s="37">
        <v>0</v>
      </c>
      <c r="AA159" s="37">
        <v>0</v>
      </c>
      <c r="AB159" s="38">
        <v>0</v>
      </c>
      <c r="AC159" s="38">
        <v>0</v>
      </c>
      <c r="AD159" s="38">
        <v>0</v>
      </c>
      <c r="AE159" s="38">
        <v>0</v>
      </c>
      <c r="AF159" s="38">
        <v>0</v>
      </c>
      <c r="AG159" s="36">
        <f t="shared" si="108"/>
        <v>0</v>
      </c>
      <c r="AI159" s="56"/>
      <c r="AJ159" s="56"/>
      <c r="AK159" s="56"/>
      <c r="AL159" s="56"/>
      <c r="AM159" s="79">
        <f t="shared" si="10"/>
        <v>0</v>
      </c>
      <c r="AN159" s="79">
        <f t="shared" si="11"/>
        <v>0</v>
      </c>
      <c r="AO159" s="79">
        <f t="shared" si="12"/>
        <v>0</v>
      </c>
      <c r="AP159" s="79">
        <f t="shared" si="13"/>
        <v>0</v>
      </c>
      <c r="AQ159" s="79">
        <f t="shared" si="12"/>
        <v>0</v>
      </c>
      <c r="AR159" s="79">
        <f t="shared" si="13"/>
        <v>0</v>
      </c>
      <c r="AS159" s="79">
        <f t="shared" si="14"/>
        <v>0</v>
      </c>
      <c r="AT159" s="79">
        <f t="shared" si="15"/>
        <v>0</v>
      </c>
      <c r="AU159" s="79">
        <f t="shared" si="16"/>
        <v>0</v>
      </c>
      <c r="AV159" s="79">
        <f t="shared" si="17"/>
        <v>0</v>
      </c>
      <c r="AW159" s="79">
        <f t="shared" si="18"/>
        <v>0</v>
      </c>
      <c r="AX159" s="79">
        <f t="shared" si="19"/>
        <v>0</v>
      </c>
      <c r="AY159" s="79">
        <f t="shared" si="20"/>
        <v>0</v>
      </c>
      <c r="AZ159" s="79">
        <f t="shared" si="21"/>
        <v>0</v>
      </c>
      <c r="BA159" s="79">
        <f t="shared" si="22"/>
        <v>0</v>
      </c>
      <c r="BB159" s="79">
        <f t="shared" si="23"/>
        <v>0</v>
      </c>
      <c r="BC159" s="79">
        <f t="shared" si="22"/>
        <v>0</v>
      </c>
      <c r="BD159" s="79">
        <f t="shared" si="23"/>
        <v>0</v>
      </c>
      <c r="BE159" s="79">
        <f t="shared" si="24"/>
        <v>0</v>
      </c>
      <c r="BF159" s="79">
        <f t="shared" si="25"/>
        <v>0</v>
      </c>
      <c r="BG159" s="79">
        <f t="shared" si="26"/>
        <v>0</v>
      </c>
      <c r="BH159" s="79">
        <f t="shared" si="27"/>
        <v>0</v>
      </c>
      <c r="BI159" s="79">
        <f t="shared" si="28"/>
        <v>0</v>
      </c>
      <c r="BJ159" s="79">
        <f t="shared" si="29"/>
        <v>0</v>
      </c>
    </row>
    <row r="160" spans="1:62" ht="82.8" x14ac:dyDescent="0.3">
      <c r="A160" s="12">
        <f>IF(ISBLANK($C160),"",MAX($A$95:$A159)+0.01)</f>
        <v>4.4099999999999913</v>
      </c>
      <c r="B160" s="65" t="s">
        <v>67</v>
      </c>
      <c r="C160" s="70" t="s">
        <v>560</v>
      </c>
      <c r="D160" s="44" t="s">
        <v>561</v>
      </c>
      <c r="E160" s="45" t="s">
        <v>91</v>
      </c>
      <c r="F160" s="44"/>
      <c r="G160" s="45"/>
      <c r="H160" s="46" t="str">
        <f t="shared" si="101"/>
        <v/>
      </c>
      <c r="I160" s="45"/>
      <c r="J160" s="46" t="str">
        <f t="shared" si="102"/>
        <v/>
      </c>
      <c r="K160" s="45"/>
      <c r="L160" s="46" t="str">
        <f t="shared" si="103"/>
        <v/>
      </c>
      <c r="M160" s="45"/>
      <c r="N160" s="46" t="str">
        <f t="shared" si="104"/>
        <v/>
      </c>
      <c r="O160" s="44"/>
      <c r="P160" s="45"/>
      <c r="Q160" s="46" t="str">
        <f t="shared" si="105"/>
        <v/>
      </c>
      <c r="R160" s="53" t="str">
        <f t="shared" si="106"/>
        <v/>
      </c>
      <c r="S160" s="43"/>
      <c r="T160" s="43" t="s">
        <v>174</v>
      </c>
      <c r="U160" s="43" t="s">
        <v>476</v>
      </c>
      <c r="W160" s="37">
        <v>0</v>
      </c>
      <c r="X160" s="37">
        <v>0</v>
      </c>
      <c r="Y160" s="37">
        <v>0</v>
      </c>
      <c r="Z160" s="37">
        <v>0</v>
      </c>
      <c r="AA160" s="37">
        <v>0</v>
      </c>
      <c r="AB160" s="38">
        <v>0</v>
      </c>
      <c r="AC160" s="38">
        <v>0</v>
      </c>
      <c r="AD160" s="38">
        <v>0</v>
      </c>
      <c r="AE160" s="38">
        <v>0</v>
      </c>
      <c r="AF160" s="38">
        <v>0</v>
      </c>
      <c r="AG160" s="36">
        <f t="shared" si="108"/>
        <v>0</v>
      </c>
      <c r="AI160" s="56"/>
      <c r="AJ160" s="56"/>
      <c r="AK160" s="56"/>
      <c r="AL160" s="56"/>
      <c r="AM160" s="79">
        <f t="shared" si="10"/>
        <v>0</v>
      </c>
      <c r="AN160" s="79">
        <f t="shared" si="11"/>
        <v>0</v>
      </c>
      <c r="AO160" s="79">
        <f t="shared" si="12"/>
        <v>0</v>
      </c>
      <c r="AP160" s="79">
        <f t="shared" si="13"/>
        <v>0</v>
      </c>
      <c r="AQ160" s="79">
        <f t="shared" si="12"/>
        <v>0</v>
      </c>
      <c r="AR160" s="79">
        <f t="shared" si="13"/>
        <v>0</v>
      </c>
      <c r="AS160" s="79">
        <f t="shared" si="14"/>
        <v>0</v>
      </c>
      <c r="AT160" s="79">
        <f t="shared" si="15"/>
        <v>0</v>
      </c>
      <c r="AU160" s="79">
        <f t="shared" si="16"/>
        <v>0</v>
      </c>
      <c r="AV160" s="79">
        <f t="shared" si="17"/>
        <v>0</v>
      </c>
      <c r="AW160" s="79">
        <f t="shared" si="18"/>
        <v>0</v>
      </c>
      <c r="AX160" s="79">
        <f t="shared" si="19"/>
        <v>0</v>
      </c>
      <c r="AY160" s="79">
        <f t="shared" si="20"/>
        <v>0</v>
      </c>
      <c r="AZ160" s="79">
        <f t="shared" si="21"/>
        <v>0</v>
      </c>
      <c r="BA160" s="79">
        <f t="shared" si="22"/>
        <v>0</v>
      </c>
      <c r="BB160" s="79">
        <f t="shared" si="23"/>
        <v>0</v>
      </c>
      <c r="BC160" s="79">
        <f t="shared" si="22"/>
        <v>0</v>
      </c>
      <c r="BD160" s="79">
        <f t="shared" si="23"/>
        <v>0</v>
      </c>
      <c r="BE160" s="79">
        <f t="shared" si="24"/>
        <v>0</v>
      </c>
      <c r="BF160" s="79">
        <f t="shared" si="25"/>
        <v>0</v>
      </c>
      <c r="BG160" s="79">
        <f t="shared" si="26"/>
        <v>0</v>
      </c>
      <c r="BH160" s="79">
        <f t="shared" si="27"/>
        <v>0</v>
      </c>
      <c r="BI160" s="79">
        <f t="shared" si="28"/>
        <v>0</v>
      </c>
      <c r="BJ160" s="79">
        <f t="shared" si="29"/>
        <v>0</v>
      </c>
    </row>
    <row r="161" spans="1:62" ht="165.6" x14ac:dyDescent="0.3">
      <c r="A161" s="12">
        <f>IF(ISBLANK($C161),"",MAX($A$95:$A160)+0.01)</f>
        <v>4.419999999999991</v>
      </c>
      <c r="B161" s="65" t="s">
        <v>16</v>
      </c>
      <c r="C161" s="70" t="s">
        <v>165</v>
      </c>
      <c r="D161" s="44" t="s">
        <v>562</v>
      </c>
      <c r="E161" s="45" t="s">
        <v>43</v>
      </c>
      <c r="F161" s="44" t="s">
        <v>563</v>
      </c>
      <c r="G161" s="45" t="s">
        <v>94</v>
      </c>
      <c r="H161" s="46">
        <f t="shared" si="101"/>
        <v>1</v>
      </c>
      <c r="I161" s="45" t="s">
        <v>95</v>
      </c>
      <c r="J161" s="46">
        <f t="shared" si="102"/>
        <v>2</v>
      </c>
      <c r="K161" s="45"/>
      <c r="L161" s="46" t="str">
        <f t="shared" si="103"/>
        <v/>
      </c>
      <c r="M161" s="45"/>
      <c r="N161" s="46" t="str">
        <f t="shared" si="104"/>
        <v/>
      </c>
      <c r="O161" s="44" t="s">
        <v>564</v>
      </c>
      <c r="P161" s="45" t="s">
        <v>95</v>
      </c>
      <c r="Q161" s="46">
        <f t="shared" si="105"/>
        <v>2</v>
      </c>
      <c r="R161" s="53" t="str">
        <f t="shared" si="106"/>
        <v>Low</v>
      </c>
      <c r="S161" s="43"/>
      <c r="T161" s="43" t="s">
        <v>174</v>
      </c>
      <c r="U161" s="43" t="s">
        <v>476</v>
      </c>
      <c r="W161" s="37">
        <v>0</v>
      </c>
      <c r="X161" s="37">
        <v>0</v>
      </c>
      <c r="Y161" s="37">
        <v>0</v>
      </c>
      <c r="Z161" s="37">
        <v>0</v>
      </c>
      <c r="AA161" s="37">
        <v>0</v>
      </c>
      <c r="AB161" s="38">
        <v>0</v>
      </c>
      <c r="AC161" s="38">
        <v>0</v>
      </c>
      <c r="AD161" s="38">
        <v>0</v>
      </c>
      <c r="AE161" s="38">
        <v>0</v>
      </c>
      <c r="AF161" s="38">
        <v>0</v>
      </c>
      <c r="AG161" s="36">
        <f t="shared" si="108"/>
        <v>0</v>
      </c>
      <c r="AI161" s="56"/>
      <c r="AJ161" s="56"/>
      <c r="AK161" s="56"/>
      <c r="AL161" s="56"/>
      <c r="AM161" s="79">
        <f t="shared" si="10"/>
        <v>1</v>
      </c>
      <c r="AN161" s="79">
        <f t="shared" si="11"/>
        <v>16</v>
      </c>
      <c r="AO161" s="79">
        <f t="shared" si="12"/>
        <v>0</v>
      </c>
      <c r="AP161" s="79">
        <f t="shared" si="13"/>
        <v>0</v>
      </c>
      <c r="AQ161" s="79">
        <f t="shared" si="12"/>
        <v>0</v>
      </c>
      <c r="AR161" s="79">
        <f t="shared" si="13"/>
        <v>0</v>
      </c>
      <c r="AS161" s="79">
        <f t="shared" si="14"/>
        <v>0</v>
      </c>
      <c r="AT161" s="79">
        <f t="shared" si="15"/>
        <v>0</v>
      </c>
      <c r="AU161" s="79">
        <f t="shared" si="16"/>
        <v>0</v>
      </c>
      <c r="AV161" s="79">
        <f t="shared" si="17"/>
        <v>0</v>
      </c>
      <c r="AW161" s="79">
        <f t="shared" si="18"/>
        <v>0</v>
      </c>
      <c r="AX161" s="79">
        <f t="shared" si="19"/>
        <v>0</v>
      </c>
      <c r="AY161" s="79">
        <f t="shared" si="20"/>
        <v>2</v>
      </c>
      <c r="AZ161" s="79">
        <f t="shared" si="21"/>
        <v>16</v>
      </c>
      <c r="BA161" s="79">
        <f t="shared" si="22"/>
        <v>0</v>
      </c>
      <c r="BB161" s="79">
        <f t="shared" si="23"/>
        <v>0</v>
      </c>
      <c r="BC161" s="79">
        <f t="shared" si="22"/>
        <v>0</v>
      </c>
      <c r="BD161" s="79">
        <f t="shared" si="23"/>
        <v>0</v>
      </c>
      <c r="BE161" s="79">
        <f t="shared" si="24"/>
        <v>0</v>
      </c>
      <c r="BF161" s="79">
        <f t="shared" si="25"/>
        <v>0</v>
      </c>
      <c r="BG161" s="79">
        <f t="shared" si="26"/>
        <v>0</v>
      </c>
      <c r="BH161" s="79">
        <f t="shared" si="27"/>
        <v>0</v>
      </c>
      <c r="BI161" s="79">
        <f t="shared" si="28"/>
        <v>0</v>
      </c>
      <c r="BJ161" s="79">
        <f t="shared" si="29"/>
        <v>0</v>
      </c>
    </row>
    <row r="162" spans="1:62" ht="96.6" x14ac:dyDescent="0.3">
      <c r="A162" s="12">
        <f>IF(ISBLANK($C162),"",MAX($A$95:$A161)+0.01)</f>
        <v>4.4299999999999908</v>
      </c>
      <c r="B162" s="65" t="s">
        <v>16</v>
      </c>
      <c r="C162" s="70" t="s">
        <v>171</v>
      </c>
      <c r="D162" s="44" t="s">
        <v>569</v>
      </c>
      <c r="E162" s="45" t="s">
        <v>43</v>
      </c>
      <c r="F162" s="44" t="s">
        <v>563</v>
      </c>
      <c r="G162" s="45" t="s">
        <v>94</v>
      </c>
      <c r="H162" s="46">
        <f t="shared" si="101"/>
        <v>1</v>
      </c>
      <c r="I162" s="45" t="s">
        <v>94</v>
      </c>
      <c r="J162" s="46">
        <f t="shared" si="102"/>
        <v>1</v>
      </c>
      <c r="K162" s="45"/>
      <c r="L162" s="46" t="str">
        <f t="shared" si="103"/>
        <v/>
      </c>
      <c r="M162" s="45"/>
      <c r="N162" s="46" t="str">
        <f t="shared" si="104"/>
        <v/>
      </c>
      <c r="O162" s="44" t="s">
        <v>564</v>
      </c>
      <c r="P162" s="45" t="s">
        <v>94</v>
      </c>
      <c r="Q162" s="46">
        <f t="shared" si="105"/>
        <v>1</v>
      </c>
      <c r="R162" s="53" t="str">
        <f t="shared" si="106"/>
        <v>Low</v>
      </c>
      <c r="S162" s="43"/>
      <c r="T162" s="43" t="s">
        <v>174</v>
      </c>
      <c r="U162" s="43" t="s">
        <v>476</v>
      </c>
      <c r="W162" s="37">
        <v>0</v>
      </c>
      <c r="X162" s="37">
        <v>0</v>
      </c>
      <c r="Y162" s="37">
        <v>0</v>
      </c>
      <c r="Z162" s="37">
        <v>0</v>
      </c>
      <c r="AA162" s="37">
        <v>0</v>
      </c>
      <c r="AB162" s="38">
        <v>0</v>
      </c>
      <c r="AC162" s="38">
        <v>0</v>
      </c>
      <c r="AD162" s="38">
        <v>0</v>
      </c>
      <c r="AE162" s="38">
        <v>0</v>
      </c>
      <c r="AF162" s="38">
        <v>0</v>
      </c>
      <c r="AG162" s="36">
        <f t="shared" si="108"/>
        <v>0</v>
      </c>
      <c r="AI162" s="56"/>
      <c r="AJ162" s="56"/>
      <c r="AK162" s="56"/>
      <c r="AL162" s="56"/>
      <c r="AM162" s="79">
        <f t="shared" si="10"/>
        <v>1</v>
      </c>
      <c r="AN162" s="79">
        <f t="shared" si="11"/>
        <v>16</v>
      </c>
      <c r="AO162" s="79">
        <f t="shared" si="12"/>
        <v>0</v>
      </c>
      <c r="AP162" s="79">
        <f t="shared" si="13"/>
        <v>0</v>
      </c>
      <c r="AQ162" s="79">
        <f t="shared" si="12"/>
        <v>0</v>
      </c>
      <c r="AR162" s="79">
        <f t="shared" si="13"/>
        <v>0</v>
      </c>
      <c r="AS162" s="79">
        <f t="shared" si="14"/>
        <v>0</v>
      </c>
      <c r="AT162" s="79">
        <f t="shared" si="15"/>
        <v>0</v>
      </c>
      <c r="AU162" s="79">
        <f t="shared" si="16"/>
        <v>0</v>
      </c>
      <c r="AV162" s="79">
        <f t="shared" si="17"/>
        <v>0</v>
      </c>
      <c r="AW162" s="79">
        <f t="shared" si="18"/>
        <v>0</v>
      </c>
      <c r="AX162" s="79">
        <f t="shared" si="19"/>
        <v>0</v>
      </c>
      <c r="AY162" s="79">
        <f t="shared" si="20"/>
        <v>1</v>
      </c>
      <c r="AZ162" s="79">
        <f t="shared" si="21"/>
        <v>16</v>
      </c>
      <c r="BA162" s="79">
        <f t="shared" si="22"/>
        <v>0</v>
      </c>
      <c r="BB162" s="79">
        <f t="shared" si="23"/>
        <v>0</v>
      </c>
      <c r="BC162" s="79">
        <f t="shared" si="22"/>
        <v>0</v>
      </c>
      <c r="BD162" s="79">
        <f t="shared" si="23"/>
        <v>0</v>
      </c>
      <c r="BE162" s="79">
        <f t="shared" si="24"/>
        <v>0</v>
      </c>
      <c r="BF162" s="79">
        <f t="shared" si="25"/>
        <v>0</v>
      </c>
      <c r="BG162" s="79">
        <f t="shared" si="26"/>
        <v>0</v>
      </c>
      <c r="BH162" s="79">
        <f t="shared" si="27"/>
        <v>0</v>
      </c>
      <c r="BI162" s="79">
        <f t="shared" si="28"/>
        <v>0</v>
      </c>
      <c r="BJ162" s="79">
        <f t="shared" si="29"/>
        <v>0</v>
      </c>
    </row>
    <row r="163" spans="1:62" ht="55.2" x14ac:dyDescent="0.3">
      <c r="A163" s="12">
        <f>IF(ISBLANK($C163),"",MAX($A$95:$A162)+0.01)</f>
        <v>4.4399999999999906</v>
      </c>
      <c r="B163" s="65" t="s">
        <v>479</v>
      </c>
      <c r="C163" s="70" t="s">
        <v>659</v>
      </c>
      <c r="D163" s="44" t="s">
        <v>660</v>
      </c>
      <c r="E163" s="45" t="s">
        <v>91</v>
      </c>
      <c r="F163" s="44"/>
      <c r="G163" s="45"/>
      <c r="H163" s="46" t="str">
        <f t="shared" si="101"/>
        <v/>
      </c>
      <c r="I163" s="45"/>
      <c r="J163" s="46" t="str">
        <f t="shared" si="102"/>
        <v/>
      </c>
      <c r="K163" s="45"/>
      <c r="L163" s="46" t="str">
        <f t="shared" si="103"/>
        <v/>
      </c>
      <c r="M163" s="45"/>
      <c r="N163" s="46" t="str">
        <f t="shared" si="104"/>
        <v/>
      </c>
      <c r="O163" s="44"/>
      <c r="P163" s="45" t="s">
        <v>91</v>
      </c>
      <c r="Q163" s="46">
        <f t="shared" si="105"/>
        <v>0</v>
      </c>
      <c r="R163" s="53" t="str">
        <f t="shared" si="106"/>
        <v/>
      </c>
      <c r="S163" s="43"/>
      <c r="T163" s="43"/>
      <c r="U163" s="43"/>
      <c r="W163" s="37">
        <v>0</v>
      </c>
      <c r="X163" s="37">
        <v>0</v>
      </c>
      <c r="Y163" s="37">
        <v>0</v>
      </c>
      <c r="Z163" s="37">
        <v>0</v>
      </c>
      <c r="AA163" s="37">
        <v>0</v>
      </c>
      <c r="AB163" s="38">
        <v>0</v>
      </c>
      <c r="AC163" s="38">
        <v>0</v>
      </c>
      <c r="AD163" s="38">
        <v>0</v>
      </c>
      <c r="AE163" s="38">
        <v>0</v>
      </c>
      <c r="AF163" s="38">
        <v>0</v>
      </c>
      <c r="AG163" s="36">
        <f t="shared" ref="AG163" si="109">IF($AG$100=5,SUM(AB163:AF163),IF($AG$100=4,SUM(AB163:AE163),IF($AG$100=3,SUM(AB163:AD163),IF($AG$100=2,SUM(AB163:AC163),AB163))))/$AG$100</f>
        <v>0</v>
      </c>
      <c r="AI163" s="56"/>
      <c r="AJ163" s="56"/>
      <c r="AK163" s="56"/>
      <c r="AL163" s="56"/>
      <c r="AM163" s="79">
        <f t="shared" si="10"/>
        <v>0</v>
      </c>
      <c r="AN163" s="79">
        <f t="shared" ref="AN163" si="110">IF(AM163&gt;0,16,0)</f>
        <v>0</v>
      </c>
      <c r="AO163" s="79">
        <f t="shared" si="12"/>
        <v>0</v>
      </c>
      <c r="AP163" s="79">
        <f t="shared" ref="AP163" si="111">IF(AO163&gt;0,16,0)</f>
        <v>0</v>
      </c>
      <c r="AQ163" s="79">
        <f t="shared" si="12"/>
        <v>0</v>
      </c>
      <c r="AR163" s="79">
        <f t="shared" ref="AR163" si="112">IF(AQ163&gt;0,16,0)</f>
        <v>0</v>
      </c>
      <c r="AS163" s="79">
        <f t="shared" si="14"/>
        <v>0</v>
      </c>
      <c r="AT163" s="79">
        <f t="shared" ref="AT163" si="113">IF(AS163&gt;0,16,0)</f>
        <v>0</v>
      </c>
      <c r="AU163" s="79">
        <f t="shared" si="16"/>
        <v>0</v>
      </c>
      <c r="AV163" s="79">
        <f t="shared" ref="AV163" si="114">IF(AU163&gt;0,16,0)</f>
        <v>0</v>
      </c>
      <c r="AW163" s="79">
        <f t="shared" si="18"/>
        <v>0</v>
      </c>
      <c r="AX163" s="79">
        <f t="shared" ref="AX163" si="115">IF(AW163&gt;0,16,0)</f>
        <v>0</v>
      </c>
      <c r="AY163" s="79">
        <f t="shared" si="20"/>
        <v>0</v>
      </c>
      <c r="AZ163" s="79">
        <f t="shared" ref="AZ163" si="116">IF(AY163&gt;0,16,0)</f>
        <v>0</v>
      </c>
      <c r="BA163" s="79">
        <f t="shared" si="22"/>
        <v>0</v>
      </c>
      <c r="BB163" s="79">
        <f t="shared" ref="BB163" si="117">IF(BA163&gt;0,16,0)</f>
        <v>0</v>
      </c>
      <c r="BC163" s="79">
        <f t="shared" si="22"/>
        <v>0</v>
      </c>
      <c r="BD163" s="79">
        <f t="shared" ref="BD163" si="118">IF(BC163&gt;0,16,0)</f>
        <v>0</v>
      </c>
      <c r="BE163" s="79">
        <f t="shared" si="24"/>
        <v>0</v>
      </c>
      <c r="BF163" s="79">
        <f t="shared" ref="BF163" si="119">IF(BE163&gt;0,16,0)</f>
        <v>0</v>
      </c>
      <c r="BG163" s="79">
        <f t="shared" si="26"/>
        <v>0</v>
      </c>
      <c r="BH163" s="79">
        <f t="shared" ref="BH163" si="120">IF(BG163&gt;0,16,0)</f>
        <v>0</v>
      </c>
      <c r="BI163" s="79">
        <f t="shared" si="28"/>
        <v>0</v>
      </c>
      <c r="BJ163" s="79">
        <f t="shared" ref="BJ163" si="121">IF(BI163&gt;0,16,0)</f>
        <v>0</v>
      </c>
    </row>
    <row r="164" spans="1:62" ht="69" x14ac:dyDescent="0.3">
      <c r="A164" s="12">
        <f>IF(ISBLANK($C164),"",MAX($A$95:$A163)+0.01)</f>
        <v>4.4499999999999904</v>
      </c>
      <c r="B164" s="69" t="s">
        <v>19</v>
      </c>
      <c r="C164" s="70" t="s">
        <v>162</v>
      </c>
      <c r="D164" s="44" t="s">
        <v>570</v>
      </c>
      <c r="E164" s="45" t="s">
        <v>43</v>
      </c>
      <c r="F164" s="44" t="s">
        <v>74</v>
      </c>
      <c r="G164" s="45" t="s">
        <v>94</v>
      </c>
      <c r="H164" s="46">
        <f t="shared" si="101"/>
        <v>1</v>
      </c>
      <c r="I164" s="45" t="s">
        <v>94</v>
      </c>
      <c r="J164" s="46">
        <f t="shared" si="102"/>
        <v>1</v>
      </c>
      <c r="K164" s="45"/>
      <c r="L164" s="46" t="str">
        <f t="shared" si="103"/>
        <v/>
      </c>
      <c r="M164" s="45"/>
      <c r="N164" s="46" t="str">
        <f t="shared" si="104"/>
        <v/>
      </c>
      <c r="O164" s="44"/>
      <c r="P164" s="45"/>
      <c r="Q164" s="46" t="str">
        <f t="shared" si="105"/>
        <v/>
      </c>
      <c r="R164" s="53" t="str">
        <f t="shared" si="106"/>
        <v/>
      </c>
      <c r="S164" s="43"/>
      <c r="T164" s="43" t="s">
        <v>174</v>
      </c>
      <c r="U164" s="43" t="s">
        <v>476</v>
      </c>
      <c r="W164" s="37">
        <v>0</v>
      </c>
      <c r="X164" s="37">
        <v>0</v>
      </c>
      <c r="Y164" s="37">
        <v>0</v>
      </c>
      <c r="Z164" s="37">
        <v>0</v>
      </c>
      <c r="AA164" s="37">
        <v>0</v>
      </c>
      <c r="AB164" s="38">
        <v>0</v>
      </c>
      <c r="AC164" s="38">
        <v>0</v>
      </c>
      <c r="AD164" s="38">
        <v>0</v>
      </c>
      <c r="AE164" s="38">
        <v>0</v>
      </c>
      <c r="AF164" s="38">
        <v>0</v>
      </c>
      <c r="AG164" s="36">
        <f t="shared" si="108"/>
        <v>0</v>
      </c>
      <c r="AI164" s="56"/>
      <c r="AJ164" s="56"/>
      <c r="AK164" s="56"/>
      <c r="AL164" s="56"/>
      <c r="AM164" s="79">
        <f t="shared" si="10"/>
        <v>0</v>
      </c>
      <c r="AN164" s="79">
        <f t="shared" si="11"/>
        <v>0</v>
      </c>
      <c r="AO164" s="79">
        <f t="shared" si="12"/>
        <v>0</v>
      </c>
      <c r="AP164" s="79">
        <f t="shared" si="13"/>
        <v>0</v>
      </c>
      <c r="AQ164" s="79">
        <f t="shared" si="12"/>
        <v>0</v>
      </c>
      <c r="AR164" s="79">
        <f t="shared" si="13"/>
        <v>0</v>
      </c>
      <c r="AS164" s="79">
        <f t="shared" si="14"/>
        <v>1</v>
      </c>
      <c r="AT164" s="79">
        <f t="shared" si="15"/>
        <v>16</v>
      </c>
      <c r="AU164" s="79">
        <f t="shared" si="16"/>
        <v>0</v>
      </c>
      <c r="AV164" s="79">
        <f t="shared" si="17"/>
        <v>0</v>
      </c>
      <c r="AW164" s="79">
        <f t="shared" si="18"/>
        <v>0</v>
      </c>
      <c r="AX164" s="79">
        <f t="shared" si="19"/>
        <v>0</v>
      </c>
      <c r="AY164" s="79">
        <f t="shared" si="20"/>
        <v>0</v>
      </c>
      <c r="AZ164" s="79">
        <f t="shared" si="21"/>
        <v>0</v>
      </c>
      <c r="BA164" s="79">
        <f t="shared" si="22"/>
        <v>0</v>
      </c>
      <c r="BB164" s="79">
        <f t="shared" si="23"/>
        <v>0</v>
      </c>
      <c r="BC164" s="79">
        <f t="shared" si="22"/>
        <v>0</v>
      </c>
      <c r="BD164" s="79">
        <f t="shared" si="23"/>
        <v>0</v>
      </c>
      <c r="BE164" s="79">
        <f t="shared" si="24"/>
        <v>1</v>
      </c>
      <c r="BF164" s="79">
        <f t="shared" si="25"/>
        <v>16</v>
      </c>
      <c r="BG164" s="79">
        <f t="shared" si="26"/>
        <v>0</v>
      </c>
      <c r="BH164" s="79">
        <f t="shared" si="27"/>
        <v>0</v>
      </c>
      <c r="BI164" s="79">
        <f t="shared" si="28"/>
        <v>0</v>
      </c>
      <c r="BJ164" s="79">
        <f t="shared" si="29"/>
        <v>0</v>
      </c>
    </row>
    <row r="165" spans="1:62" x14ac:dyDescent="0.3">
      <c r="A165" s="12" t="str">
        <f>IF(ISBLANK($C165),"",MAX($A$95:$A164)+0.01)</f>
        <v/>
      </c>
      <c r="B165" s="51"/>
      <c r="C165" s="44"/>
      <c r="D165" s="44"/>
      <c r="E165" s="45"/>
      <c r="F165" s="44"/>
      <c r="G165" s="45"/>
      <c r="H165" s="46" t="str">
        <f t="shared" si="101"/>
        <v/>
      </c>
      <c r="I165" s="45"/>
      <c r="J165" s="46" t="str">
        <f t="shared" si="102"/>
        <v/>
      </c>
      <c r="K165" s="45"/>
      <c r="L165" s="46" t="str">
        <f t="shared" si="103"/>
        <v/>
      </c>
      <c r="M165" s="45"/>
      <c r="N165" s="46" t="str">
        <f t="shared" si="104"/>
        <v/>
      </c>
      <c r="O165" s="44"/>
      <c r="P165" s="45"/>
      <c r="Q165" s="46" t="str">
        <f t="shared" si="105"/>
        <v/>
      </c>
      <c r="R165" s="53" t="str">
        <f t="shared" si="106"/>
        <v/>
      </c>
      <c r="S165" s="43"/>
      <c r="T165" s="43"/>
      <c r="U165" s="43"/>
      <c r="W165" s="37">
        <v>0</v>
      </c>
      <c r="X165" s="37">
        <v>0</v>
      </c>
      <c r="Y165" s="37">
        <v>0</v>
      </c>
      <c r="Z165" s="37">
        <v>0</v>
      </c>
      <c r="AA165" s="37">
        <v>0</v>
      </c>
      <c r="AB165" s="38">
        <v>0</v>
      </c>
      <c r="AC165" s="38">
        <v>0</v>
      </c>
      <c r="AD165" s="38">
        <v>0</v>
      </c>
      <c r="AE165" s="38">
        <v>0</v>
      </c>
      <c r="AF165" s="38">
        <v>0</v>
      </c>
      <c r="AG165" s="36">
        <f t="shared" si="108"/>
        <v>0</v>
      </c>
      <c r="AI165" s="56"/>
      <c r="AJ165" s="56"/>
      <c r="AK165" s="56"/>
      <c r="AL165" s="56"/>
      <c r="AM165" s="79">
        <f t="shared" si="10"/>
        <v>0</v>
      </c>
      <c r="AN165" s="79">
        <f t="shared" si="11"/>
        <v>0</v>
      </c>
      <c r="AO165" s="79">
        <f t="shared" si="12"/>
        <v>0</v>
      </c>
      <c r="AP165" s="79">
        <f t="shared" si="13"/>
        <v>0</v>
      </c>
      <c r="AQ165" s="79">
        <f t="shared" si="12"/>
        <v>0</v>
      </c>
      <c r="AR165" s="79">
        <f t="shared" si="13"/>
        <v>0</v>
      </c>
      <c r="AS165" s="79">
        <f t="shared" si="14"/>
        <v>0</v>
      </c>
      <c r="AT165" s="79">
        <f t="shared" si="15"/>
        <v>0</v>
      </c>
      <c r="AU165" s="79">
        <f t="shared" si="16"/>
        <v>0</v>
      </c>
      <c r="AV165" s="79">
        <f t="shared" si="17"/>
        <v>0</v>
      </c>
      <c r="AW165" s="79">
        <f t="shared" si="18"/>
        <v>0</v>
      </c>
      <c r="AX165" s="79">
        <f t="shared" si="19"/>
        <v>0</v>
      </c>
      <c r="AY165" s="79">
        <f t="shared" si="20"/>
        <v>0</v>
      </c>
      <c r="AZ165" s="79">
        <f t="shared" si="21"/>
        <v>0</v>
      </c>
      <c r="BA165" s="79">
        <f t="shared" si="22"/>
        <v>0</v>
      </c>
      <c r="BB165" s="79">
        <f t="shared" si="23"/>
        <v>0</v>
      </c>
      <c r="BC165" s="79">
        <f t="shared" si="22"/>
        <v>0</v>
      </c>
      <c r="BD165" s="79">
        <f t="shared" si="23"/>
        <v>0</v>
      </c>
      <c r="BE165" s="79">
        <f t="shared" si="24"/>
        <v>0</v>
      </c>
      <c r="BF165" s="79">
        <f t="shared" si="25"/>
        <v>0</v>
      </c>
      <c r="BG165" s="79">
        <f t="shared" si="26"/>
        <v>0</v>
      </c>
      <c r="BH165" s="79">
        <f t="shared" si="27"/>
        <v>0</v>
      </c>
      <c r="BI165" s="79">
        <f t="shared" si="28"/>
        <v>0</v>
      </c>
      <c r="BJ165" s="79">
        <f t="shared" si="29"/>
        <v>0</v>
      </c>
    </row>
    <row r="166" spans="1:62" x14ac:dyDescent="0.3">
      <c r="A166" s="12" t="str">
        <f>IF(ISBLANK($C166),"",MAX($A$95:$A165)+0.01)</f>
        <v/>
      </c>
      <c r="B166" s="51"/>
      <c r="C166" s="48"/>
      <c r="D166" s="44"/>
      <c r="E166" s="45"/>
      <c r="F166" s="44"/>
      <c r="G166" s="45"/>
      <c r="H166" s="46" t="str">
        <f t="shared" si="101"/>
        <v/>
      </c>
      <c r="I166" s="45"/>
      <c r="J166" s="46" t="str">
        <f t="shared" si="102"/>
        <v/>
      </c>
      <c r="K166" s="45"/>
      <c r="L166" s="46" t="str">
        <f t="shared" si="103"/>
        <v/>
      </c>
      <c r="M166" s="45"/>
      <c r="N166" s="46" t="str">
        <f t="shared" si="104"/>
        <v/>
      </c>
      <c r="O166" s="44"/>
      <c r="P166" s="45"/>
      <c r="Q166" s="46" t="str">
        <f t="shared" si="105"/>
        <v/>
      </c>
      <c r="R166" s="53" t="str">
        <f t="shared" si="106"/>
        <v/>
      </c>
      <c r="S166" s="43"/>
      <c r="T166" s="43"/>
      <c r="U166" s="43"/>
      <c r="W166" s="37">
        <v>0</v>
      </c>
      <c r="X166" s="37">
        <v>0</v>
      </c>
      <c r="Y166" s="37">
        <v>0</v>
      </c>
      <c r="Z166" s="37">
        <v>0</v>
      </c>
      <c r="AA166" s="37">
        <v>0</v>
      </c>
      <c r="AB166" s="38">
        <v>0</v>
      </c>
      <c r="AC166" s="38">
        <v>0</v>
      </c>
      <c r="AD166" s="38">
        <v>0</v>
      </c>
      <c r="AE166" s="38">
        <v>0</v>
      </c>
      <c r="AF166" s="38">
        <v>0</v>
      </c>
      <c r="AG166" s="36">
        <f t="shared" si="108"/>
        <v>0</v>
      </c>
      <c r="AI166" s="56"/>
      <c r="AJ166" s="56"/>
      <c r="AK166" s="56"/>
      <c r="AL166" s="56"/>
      <c r="AM166" s="79">
        <f t="shared" si="10"/>
        <v>0</v>
      </c>
      <c r="AN166" s="79">
        <f t="shared" si="11"/>
        <v>0</v>
      </c>
      <c r="AO166" s="79">
        <f t="shared" si="12"/>
        <v>0</v>
      </c>
      <c r="AP166" s="79">
        <f t="shared" si="13"/>
        <v>0</v>
      </c>
      <c r="AQ166" s="79">
        <f t="shared" si="12"/>
        <v>0</v>
      </c>
      <c r="AR166" s="79">
        <f t="shared" si="13"/>
        <v>0</v>
      </c>
      <c r="AS166" s="79">
        <f t="shared" si="14"/>
        <v>0</v>
      </c>
      <c r="AT166" s="79">
        <f t="shared" si="15"/>
        <v>0</v>
      </c>
      <c r="AU166" s="79">
        <f t="shared" si="16"/>
        <v>0</v>
      </c>
      <c r="AV166" s="79">
        <f t="shared" si="17"/>
        <v>0</v>
      </c>
      <c r="AW166" s="79">
        <f t="shared" si="18"/>
        <v>0</v>
      </c>
      <c r="AX166" s="79">
        <f t="shared" si="19"/>
        <v>0</v>
      </c>
      <c r="AY166" s="79">
        <f t="shared" si="20"/>
        <v>0</v>
      </c>
      <c r="AZ166" s="79">
        <f t="shared" si="21"/>
        <v>0</v>
      </c>
      <c r="BA166" s="79">
        <f t="shared" si="22"/>
        <v>0</v>
      </c>
      <c r="BB166" s="79">
        <f t="shared" si="23"/>
        <v>0</v>
      </c>
      <c r="BC166" s="79">
        <f t="shared" si="22"/>
        <v>0</v>
      </c>
      <c r="BD166" s="79">
        <f t="shared" si="23"/>
        <v>0</v>
      </c>
      <c r="BE166" s="79">
        <f t="shared" si="24"/>
        <v>0</v>
      </c>
      <c r="BF166" s="79">
        <f t="shared" si="25"/>
        <v>0</v>
      </c>
      <c r="BG166" s="79">
        <f t="shared" si="26"/>
        <v>0</v>
      </c>
      <c r="BH166" s="79">
        <f t="shared" si="27"/>
        <v>0</v>
      </c>
      <c r="BI166" s="79">
        <f t="shared" si="28"/>
        <v>0</v>
      </c>
      <c r="BJ166" s="79">
        <f t="shared" si="29"/>
        <v>0</v>
      </c>
    </row>
    <row r="167" spans="1:62" x14ac:dyDescent="0.3">
      <c r="A167" s="12" t="str">
        <f>IF(ISBLANK($C167),"",MAX($A$95:$A166)+0.01)</f>
        <v/>
      </c>
      <c r="B167" s="52"/>
      <c r="C167" s="48"/>
      <c r="D167" s="48"/>
      <c r="E167" s="45"/>
      <c r="F167" s="44"/>
      <c r="G167" s="45"/>
      <c r="H167" s="46" t="str">
        <f t="shared" si="101"/>
        <v/>
      </c>
      <c r="I167" s="45"/>
      <c r="J167" s="46" t="str">
        <f t="shared" si="102"/>
        <v/>
      </c>
      <c r="K167" s="45"/>
      <c r="L167" s="46" t="str">
        <f t="shared" si="103"/>
        <v/>
      </c>
      <c r="M167" s="45"/>
      <c r="N167" s="46" t="str">
        <f t="shared" si="104"/>
        <v/>
      </c>
      <c r="O167" s="44"/>
      <c r="P167" s="45"/>
      <c r="Q167" s="46" t="str">
        <f t="shared" si="105"/>
        <v/>
      </c>
      <c r="R167" s="53" t="str">
        <f t="shared" si="106"/>
        <v/>
      </c>
      <c r="S167" s="43"/>
      <c r="T167" s="43"/>
      <c r="U167" s="43"/>
      <c r="W167" s="37">
        <v>0</v>
      </c>
      <c r="X167" s="37">
        <v>0</v>
      </c>
      <c r="Y167" s="37">
        <v>0</v>
      </c>
      <c r="Z167" s="37">
        <v>0</v>
      </c>
      <c r="AA167" s="37">
        <v>0</v>
      </c>
      <c r="AB167" s="38">
        <v>0</v>
      </c>
      <c r="AC167" s="38">
        <v>0</v>
      </c>
      <c r="AD167" s="38">
        <v>0</v>
      </c>
      <c r="AE167" s="38">
        <v>0</v>
      </c>
      <c r="AF167" s="38">
        <v>0</v>
      </c>
      <c r="AG167" s="36">
        <f t="shared" si="108"/>
        <v>0</v>
      </c>
      <c r="AI167" s="56"/>
      <c r="AJ167" s="56"/>
      <c r="AK167" s="56"/>
      <c r="AL167" s="56"/>
      <c r="AM167" s="79">
        <f t="shared" si="10"/>
        <v>0</v>
      </c>
      <c r="AN167" s="79">
        <f t="shared" si="11"/>
        <v>0</v>
      </c>
      <c r="AO167" s="79">
        <f t="shared" si="12"/>
        <v>0</v>
      </c>
      <c r="AP167" s="79">
        <f t="shared" si="13"/>
        <v>0</v>
      </c>
      <c r="AQ167" s="79">
        <f t="shared" si="12"/>
        <v>0</v>
      </c>
      <c r="AR167" s="79">
        <f t="shared" si="13"/>
        <v>0</v>
      </c>
      <c r="AS167" s="79">
        <f t="shared" si="14"/>
        <v>0</v>
      </c>
      <c r="AT167" s="79">
        <f t="shared" si="15"/>
        <v>0</v>
      </c>
      <c r="AU167" s="79">
        <f t="shared" si="16"/>
        <v>0</v>
      </c>
      <c r="AV167" s="79">
        <f t="shared" si="17"/>
        <v>0</v>
      </c>
      <c r="AW167" s="79">
        <f t="shared" si="18"/>
        <v>0</v>
      </c>
      <c r="AX167" s="79">
        <f t="shared" si="19"/>
        <v>0</v>
      </c>
      <c r="AY167" s="79">
        <f t="shared" si="20"/>
        <v>0</v>
      </c>
      <c r="AZ167" s="79">
        <f t="shared" si="21"/>
        <v>0</v>
      </c>
      <c r="BA167" s="79">
        <f t="shared" si="22"/>
        <v>0</v>
      </c>
      <c r="BB167" s="79">
        <f t="shared" si="23"/>
        <v>0</v>
      </c>
      <c r="BC167" s="79">
        <f t="shared" si="22"/>
        <v>0</v>
      </c>
      <c r="BD167" s="79">
        <f t="shared" si="23"/>
        <v>0</v>
      </c>
      <c r="BE167" s="79">
        <f t="shared" si="24"/>
        <v>0</v>
      </c>
      <c r="BF167" s="79">
        <f t="shared" si="25"/>
        <v>0</v>
      </c>
      <c r="BG167" s="79">
        <f t="shared" si="26"/>
        <v>0</v>
      </c>
      <c r="BH167" s="79">
        <f t="shared" si="27"/>
        <v>0</v>
      </c>
      <c r="BI167" s="79">
        <f t="shared" si="28"/>
        <v>0</v>
      </c>
      <c r="BJ167" s="79">
        <f t="shared" si="29"/>
        <v>0</v>
      </c>
    </row>
    <row r="168" spans="1:62" x14ac:dyDescent="0.3">
      <c r="A168" s="12" t="str">
        <f>IF(ISBLANK($C168),"",MAX($A$95:$A167)+0.01)</f>
        <v/>
      </c>
      <c r="B168" s="52"/>
      <c r="C168" s="48"/>
      <c r="D168" s="48"/>
      <c r="E168" s="45"/>
      <c r="F168" s="44"/>
      <c r="G168" s="45"/>
      <c r="H168" s="46" t="str">
        <f t="shared" si="101"/>
        <v/>
      </c>
      <c r="I168" s="45"/>
      <c r="J168" s="46" t="str">
        <f t="shared" si="102"/>
        <v/>
      </c>
      <c r="K168" s="45"/>
      <c r="L168" s="46" t="str">
        <f t="shared" si="103"/>
        <v/>
      </c>
      <c r="M168" s="45"/>
      <c r="N168" s="46" t="str">
        <f t="shared" si="104"/>
        <v/>
      </c>
      <c r="O168" s="44"/>
      <c r="P168" s="45"/>
      <c r="Q168" s="46" t="str">
        <f t="shared" si="105"/>
        <v/>
      </c>
      <c r="R168" s="53" t="str">
        <f t="shared" si="106"/>
        <v/>
      </c>
      <c r="S168" s="43"/>
      <c r="T168" s="43"/>
      <c r="U168" s="43"/>
      <c r="W168" s="37">
        <v>0</v>
      </c>
      <c r="X168" s="37">
        <v>0</v>
      </c>
      <c r="Y168" s="37">
        <v>0</v>
      </c>
      <c r="Z168" s="37">
        <v>0</v>
      </c>
      <c r="AA168" s="37">
        <v>0</v>
      </c>
      <c r="AB168" s="38">
        <v>0</v>
      </c>
      <c r="AC168" s="38">
        <v>0</v>
      </c>
      <c r="AD168" s="38">
        <v>0</v>
      </c>
      <c r="AE168" s="38">
        <v>0</v>
      </c>
      <c r="AF168" s="38">
        <v>0</v>
      </c>
      <c r="AG168" s="36">
        <f t="shared" si="108"/>
        <v>0</v>
      </c>
      <c r="AI168" s="56"/>
      <c r="AJ168" s="56"/>
      <c r="AK168" s="56"/>
      <c r="AL168" s="56"/>
      <c r="AM168" s="79">
        <f t="shared" si="10"/>
        <v>0</v>
      </c>
      <c r="AN168" s="79">
        <f t="shared" si="11"/>
        <v>0</v>
      </c>
      <c r="AO168" s="79">
        <f t="shared" si="12"/>
        <v>0</v>
      </c>
      <c r="AP168" s="79">
        <f t="shared" si="13"/>
        <v>0</v>
      </c>
      <c r="AQ168" s="79">
        <f t="shared" si="12"/>
        <v>0</v>
      </c>
      <c r="AR168" s="79">
        <f t="shared" si="13"/>
        <v>0</v>
      </c>
      <c r="AS168" s="79">
        <f t="shared" si="14"/>
        <v>0</v>
      </c>
      <c r="AT168" s="79">
        <f t="shared" si="15"/>
        <v>0</v>
      </c>
      <c r="AU168" s="79">
        <f t="shared" si="16"/>
        <v>0</v>
      </c>
      <c r="AV168" s="79">
        <f t="shared" si="17"/>
        <v>0</v>
      </c>
      <c r="AW168" s="79">
        <f t="shared" si="18"/>
        <v>0</v>
      </c>
      <c r="AX168" s="79">
        <f t="shared" si="19"/>
        <v>0</v>
      </c>
      <c r="AY168" s="79">
        <f t="shared" si="20"/>
        <v>0</v>
      </c>
      <c r="AZ168" s="79">
        <f t="shared" si="21"/>
        <v>0</v>
      </c>
      <c r="BA168" s="79">
        <f t="shared" si="22"/>
        <v>0</v>
      </c>
      <c r="BB168" s="79">
        <f t="shared" si="23"/>
        <v>0</v>
      </c>
      <c r="BC168" s="79">
        <f t="shared" si="22"/>
        <v>0</v>
      </c>
      <c r="BD168" s="79">
        <f t="shared" si="23"/>
        <v>0</v>
      </c>
      <c r="BE168" s="79">
        <f t="shared" si="24"/>
        <v>0</v>
      </c>
      <c r="BF168" s="79">
        <f t="shared" si="25"/>
        <v>0</v>
      </c>
      <c r="BG168" s="79">
        <f t="shared" si="26"/>
        <v>0</v>
      </c>
      <c r="BH168" s="79">
        <f t="shared" si="27"/>
        <v>0</v>
      </c>
      <c r="BI168" s="79">
        <f t="shared" si="28"/>
        <v>0</v>
      </c>
      <c r="BJ168" s="79">
        <f t="shared" si="29"/>
        <v>0</v>
      </c>
    </row>
    <row r="169" spans="1:62" ht="24" customHeight="1" x14ac:dyDescent="0.3">
      <c r="A169" s="20"/>
      <c r="B169" s="234" t="s">
        <v>140</v>
      </c>
      <c r="C169" s="234"/>
      <c r="D169" s="234"/>
      <c r="E169" s="234"/>
      <c r="F169" s="234"/>
      <c r="G169" s="234"/>
      <c r="H169" s="234"/>
      <c r="I169" s="234"/>
      <c r="J169" s="234"/>
      <c r="K169" s="234"/>
      <c r="L169" s="234"/>
      <c r="M169" s="234"/>
      <c r="N169" s="234"/>
      <c r="O169" s="234"/>
      <c r="P169" s="234"/>
      <c r="Q169" s="234"/>
      <c r="R169" s="234"/>
      <c r="S169" s="234"/>
      <c r="T169" s="234"/>
      <c r="U169" s="234"/>
      <c r="AI169" s="56"/>
      <c r="AJ169" s="56"/>
      <c r="AK169" s="56"/>
      <c r="AL169" s="56"/>
      <c r="AM169" s="79">
        <f t="shared" si="10"/>
        <v>0</v>
      </c>
      <c r="AN169" s="79">
        <f t="shared" si="11"/>
        <v>0</v>
      </c>
      <c r="AO169" s="79">
        <f t="shared" si="12"/>
        <v>0</v>
      </c>
      <c r="AP169" s="79">
        <f t="shared" si="13"/>
        <v>0</v>
      </c>
      <c r="AQ169" s="79">
        <f t="shared" si="12"/>
        <v>0</v>
      </c>
      <c r="AR169" s="79">
        <f t="shared" si="13"/>
        <v>0</v>
      </c>
      <c r="AS169" s="79">
        <f t="shared" si="14"/>
        <v>0</v>
      </c>
      <c r="AT169" s="79">
        <f t="shared" si="15"/>
        <v>0</v>
      </c>
      <c r="AU169" s="79">
        <f t="shared" si="16"/>
        <v>0</v>
      </c>
      <c r="AV169" s="79">
        <f t="shared" si="17"/>
        <v>0</v>
      </c>
      <c r="AW169" s="79">
        <f t="shared" si="18"/>
        <v>0</v>
      </c>
      <c r="AX169" s="79">
        <f t="shared" si="19"/>
        <v>0</v>
      </c>
      <c r="AY169" s="79">
        <f t="shared" si="20"/>
        <v>0</v>
      </c>
      <c r="AZ169" s="79">
        <f t="shared" si="21"/>
        <v>0</v>
      </c>
      <c r="BA169" s="79">
        <f t="shared" si="22"/>
        <v>0</v>
      </c>
      <c r="BB169" s="79">
        <f t="shared" si="23"/>
        <v>0</v>
      </c>
      <c r="BC169" s="79">
        <f t="shared" si="22"/>
        <v>0</v>
      </c>
      <c r="BD169" s="79">
        <f t="shared" si="23"/>
        <v>0</v>
      </c>
      <c r="BE169" s="79">
        <f t="shared" si="24"/>
        <v>0</v>
      </c>
      <c r="BF169" s="79">
        <f t="shared" si="25"/>
        <v>0</v>
      </c>
      <c r="BG169" s="79">
        <f t="shared" si="26"/>
        <v>0</v>
      </c>
      <c r="BH169" s="79">
        <f t="shared" si="27"/>
        <v>0</v>
      </c>
      <c r="BI169" s="79">
        <f t="shared" si="28"/>
        <v>0</v>
      </c>
      <c r="BJ169" s="79">
        <f t="shared" si="29"/>
        <v>0</v>
      </c>
    </row>
    <row r="170" spans="1:62" ht="82.8" x14ac:dyDescent="0.3">
      <c r="A170" s="12">
        <f>IF(ISBLANK($C170),"",MAX($A$95:$A169)+0.01)</f>
        <v>4.4599999999999902</v>
      </c>
      <c r="B170" s="65" t="s">
        <v>131</v>
      </c>
      <c r="C170" s="66" t="s">
        <v>598</v>
      </c>
      <c r="D170" s="44" t="s">
        <v>599</v>
      </c>
      <c r="E170" s="45" t="s">
        <v>43</v>
      </c>
      <c r="F170" s="44" t="s">
        <v>602</v>
      </c>
      <c r="G170" s="45" t="s">
        <v>96</v>
      </c>
      <c r="H170" s="46">
        <f t="shared" ref="H170:H194" si="122">IFERROR(VLOOKUP($E170,$D$199:$E$203,2,FALSE)*VLOOKUP($G170,$D$206:$E$210,2,FALSE),"")</f>
        <v>3</v>
      </c>
      <c r="I170" s="45" t="s">
        <v>96</v>
      </c>
      <c r="J170" s="46">
        <f t="shared" ref="J170:J194" si="123">IFERROR(VLOOKUP($E170,$D$199:$E$203,2,FALSE)*VLOOKUP($I170,$D$213:$E$217,2,FALSE),"")</f>
        <v>3</v>
      </c>
      <c r="K170" s="45" t="s">
        <v>96</v>
      </c>
      <c r="L170" s="46">
        <f t="shared" ref="L170:L194" si="124">IFERROR(VLOOKUP($E170,$D$199:$E$203,2,FALSE)*VLOOKUP($K170,$D$220:$E$224,2,FALSE),"")</f>
        <v>3</v>
      </c>
      <c r="M170" s="45" t="s">
        <v>96</v>
      </c>
      <c r="N170" s="46">
        <f t="shared" ref="N170:N194" si="125">IFERROR(VLOOKUP($E170,$D$199:$E$203,2,FALSE)*VLOOKUP($M170,$D$227:$E$231,2,FALSE),"")</f>
        <v>3</v>
      </c>
      <c r="O170" s="44" t="s">
        <v>571</v>
      </c>
      <c r="P170" s="45" t="s">
        <v>97</v>
      </c>
      <c r="Q170" s="50">
        <f t="shared" ref="Q170:Q194" si="126">IFERROR(VLOOKUP($E170,$D$199:$E$203,2,FALSE)*VLOOKUP($P170,$D$234:$E$238,2,FALSE),"")</f>
        <v>4</v>
      </c>
      <c r="R170" s="53" t="str">
        <f t="shared" ref="R170:R194" si="127">IF(LEFT($D$16,3)="Yes",IF(IFERROR(FIND("DP",$B170),0)&gt;0,IF(_xlfn.NUMBERVALUE($Q170)&gt;=$N$235,"High",IF(_xlfn.NUMBERVALUE($Q170)&gt;=$N$234,"Medium",IF(_xlfn.NUMBERVALUE($Q170)&gt;0,"Low",IF($P170="N/A","","make choice")))),""),"")</f>
        <v>Low</v>
      </c>
      <c r="S170" s="43"/>
      <c r="T170" s="43" t="s">
        <v>174</v>
      </c>
      <c r="U170" s="43" t="s">
        <v>476</v>
      </c>
      <c r="W170" s="37">
        <v>0</v>
      </c>
      <c r="X170" s="37">
        <v>0</v>
      </c>
      <c r="Y170" s="37">
        <v>0</v>
      </c>
      <c r="Z170" s="37">
        <v>0</v>
      </c>
      <c r="AA170" s="37">
        <v>0</v>
      </c>
      <c r="AB170" s="38">
        <v>0</v>
      </c>
      <c r="AC170" s="38">
        <v>0</v>
      </c>
      <c r="AD170" s="38">
        <v>0</v>
      </c>
      <c r="AE170" s="38">
        <v>0</v>
      </c>
      <c r="AF170" s="38">
        <v>0</v>
      </c>
      <c r="AG170" s="36">
        <f t="shared" ref="AG170:AG175" si="128">IF($AG$100=5,SUM(AB170:AF170),IF($AG$100=4,SUM(AB170:AE170),IF($AG$100=3,SUM(AB170:AD170),IF($AG$100=2,SUM(AB170:AC170),AB170))))/$AG$100</f>
        <v>0</v>
      </c>
      <c r="AI170" s="56"/>
      <c r="AJ170" s="56"/>
      <c r="AK170" s="56"/>
      <c r="AL170" s="56"/>
      <c r="AM170" s="79">
        <f t="shared" si="10"/>
        <v>3</v>
      </c>
      <c r="AN170" s="79">
        <f t="shared" si="11"/>
        <v>16</v>
      </c>
      <c r="AO170" s="79">
        <f t="shared" si="12"/>
        <v>3</v>
      </c>
      <c r="AP170" s="79">
        <f t="shared" si="13"/>
        <v>16</v>
      </c>
      <c r="AQ170" s="79">
        <f t="shared" si="12"/>
        <v>0</v>
      </c>
      <c r="AR170" s="79">
        <f t="shared" si="13"/>
        <v>0</v>
      </c>
      <c r="AS170" s="79">
        <f t="shared" si="14"/>
        <v>0</v>
      </c>
      <c r="AT170" s="79">
        <f t="shared" si="15"/>
        <v>0</v>
      </c>
      <c r="AU170" s="79">
        <f t="shared" si="16"/>
        <v>0</v>
      </c>
      <c r="AV170" s="79">
        <f t="shared" si="17"/>
        <v>0</v>
      </c>
      <c r="AW170" s="79">
        <f t="shared" si="18"/>
        <v>0</v>
      </c>
      <c r="AX170" s="79">
        <f t="shared" si="19"/>
        <v>0</v>
      </c>
      <c r="AY170" s="79">
        <f t="shared" si="20"/>
        <v>3</v>
      </c>
      <c r="AZ170" s="79">
        <f t="shared" si="21"/>
        <v>16</v>
      </c>
      <c r="BA170" s="79">
        <f t="shared" si="22"/>
        <v>3</v>
      </c>
      <c r="BB170" s="79">
        <f t="shared" si="23"/>
        <v>16</v>
      </c>
      <c r="BC170" s="79">
        <f t="shared" si="22"/>
        <v>0</v>
      </c>
      <c r="BD170" s="79">
        <f t="shared" si="23"/>
        <v>0</v>
      </c>
      <c r="BE170" s="79">
        <f t="shared" si="24"/>
        <v>0</v>
      </c>
      <c r="BF170" s="79">
        <f t="shared" si="25"/>
        <v>0</v>
      </c>
      <c r="BG170" s="79">
        <f t="shared" si="26"/>
        <v>0</v>
      </c>
      <c r="BH170" s="79">
        <f t="shared" si="27"/>
        <v>0</v>
      </c>
      <c r="BI170" s="79">
        <f t="shared" si="28"/>
        <v>0</v>
      </c>
      <c r="BJ170" s="79">
        <f t="shared" si="29"/>
        <v>0</v>
      </c>
    </row>
    <row r="171" spans="1:62" ht="55.2" x14ac:dyDescent="0.3">
      <c r="A171" s="12">
        <f>IF(ISBLANK($C171),"",MAX($A$95:$A170)+0.01)</f>
        <v>4.46999999999999</v>
      </c>
      <c r="B171" s="65" t="s">
        <v>16</v>
      </c>
      <c r="C171" s="66" t="s">
        <v>354</v>
      </c>
      <c r="D171" s="44" t="s">
        <v>428</v>
      </c>
      <c r="E171" s="45" t="s">
        <v>43</v>
      </c>
      <c r="F171" s="44" t="s">
        <v>603</v>
      </c>
      <c r="G171" s="45" t="s">
        <v>96</v>
      </c>
      <c r="H171" s="46">
        <f t="shared" si="122"/>
        <v>3</v>
      </c>
      <c r="I171" s="45" t="s">
        <v>96</v>
      </c>
      <c r="J171" s="46">
        <f t="shared" si="123"/>
        <v>3</v>
      </c>
      <c r="K171" s="45" t="s">
        <v>95</v>
      </c>
      <c r="L171" s="46">
        <f t="shared" si="124"/>
        <v>2</v>
      </c>
      <c r="M171" s="45" t="s">
        <v>91</v>
      </c>
      <c r="N171" s="46">
        <f t="shared" si="125"/>
        <v>0</v>
      </c>
      <c r="O171" s="44" t="s">
        <v>576</v>
      </c>
      <c r="P171" s="45" t="s">
        <v>96</v>
      </c>
      <c r="Q171" s="50">
        <f t="shared" si="126"/>
        <v>3</v>
      </c>
      <c r="R171" s="53" t="str">
        <f t="shared" si="127"/>
        <v>Low</v>
      </c>
      <c r="S171" s="43"/>
      <c r="T171" s="43" t="s">
        <v>174</v>
      </c>
      <c r="U171" s="43" t="s">
        <v>476</v>
      </c>
      <c r="W171" s="37">
        <v>0</v>
      </c>
      <c r="X171" s="37">
        <v>0</v>
      </c>
      <c r="Y171" s="37">
        <v>0</v>
      </c>
      <c r="Z171" s="37">
        <v>0</v>
      </c>
      <c r="AA171" s="37">
        <v>0</v>
      </c>
      <c r="AB171" s="38">
        <v>0</v>
      </c>
      <c r="AC171" s="38">
        <v>0</v>
      </c>
      <c r="AD171" s="38">
        <v>0</v>
      </c>
      <c r="AE171" s="38">
        <v>0</v>
      </c>
      <c r="AF171" s="38">
        <v>0</v>
      </c>
      <c r="AG171" s="36">
        <f t="shared" si="128"/>
        <v>0</v>
      </c>
      <c r="AI171" s="56"/>
      <c r="AJ171" s="56"/>
      <c r="AK171" s="56"/>
      <c r="AL171" s="56"/>
      <c r="AM171" s="79">
        <f t="shared" si="10"/>
        <v>3</v>
      </c>
      <c r="AN171" s="79">
        <f t="shared" si="11"/>
        <v>16</v>
      </c>
      <c r="AO171" s="79">
        <f t="shared" si="12"/>
        <v>0</v>
      </c>
      <c r="AP171" s="79">
        <f t="shared" si="13"/>
        <v>0</v>
      </c>
      <c r="AQ171" s="79">
        <f t="shared" si="12"/>
        <v>0</v>
      </c>
      <c r="AR171" s="79">
        <f t="shared" si="13"/>
        <v>0</v>
      </c>
      <c r="AS171" s="79">
        <f t="shared" si="14"/>
        <v>0</v>
      </c>
      <c r="AT171" s="79">
        <f t="shared" si="15"/>
        <v>0</v>
      </c>
      <c r="AU171" s="79">
        <f t="shared" si="16"/>
        <v>0</v>
      </c>
      <c r="AV171" s="79">
        <f t="shared" si="17"/>
        <v>0</v>
      </c>
      <c r="AW171" s="79">
        <f t="shared" si="18"/>
        <v>0</v>
      </c>
      <c r="AX171" s="79">
        <f t="shared" si="19"/>
        <v>0</v>
      </c>
      <c r="AY171" s="79">
        <f t="shared" si="20"/>
        <v>3</v>
      </c>
      <c r="AZ171" s="79">
        <f t="shared" si="21"/>
        <v>16</v>
      </c>
      <c r="BA171" s="79">
        <f t="shared" si="22"/>
        <v>0</v>
      </c>
      <c r="BB171" s="79">
        <f t="shared" si="23"/>
        <v>0</v>
      </c>
      <c r="BC171" s="79">
        <f t="shared" si="22"/>
        <v>0</v>
      </c>
      <c r="BD171" s="79">
        <f t="shared" si="23"/>
        <v>0</v>
      </c>
      <c r="BE171" s="79">
        <f t="shared" si="24"/>
        <v>0</v>
      </c>
      <c r="BF171" s="79">
        <f t="shared" si="25"/>
        <v>0</v>
      </c>
      <c r="BG171" s="79">
        <f t="shared" si="26"/>
        <v>0</v>
      </c>
      <c r="BH171" s="79">
        <f t="shared" si="27"/>
        <v>0</v>
      </c>
      <c r="BI171" s="79">
        <f t="shared" si="28"/>
        <v>0</v>
      </c>
      <c r="BJ171" s="79">
        <f t="shared" si="29"/>
        <v>0</v>
      </c>
    </row>
    <row r="172" spans="1:62" ht="55.2" x14ac:dyDescent="0.3">
      <c r="A172" s="12">
        <f>IF(ISBLANK($C172),"",MAX($A$95:$A171)+0.01)</f>
        <v>4.4799999999999898</v>
      </c>
      <c r="B172" s="65" t="s">
        <v>16</v>
      </c>
      <c r="C172" s="66" t="s">
        <v>355</v>
      </c>
      <c r="D172" s="44" t="s">
        <v>139</v>
      </c>
      <c r="E172" s="45" t="s">
        <v>43</v>
      </c>
      <c r="F172" s="44" t="s">
        <v>604</v>
      </c>
      <c r="G172" s="45" t="s">
        <v>96</v>
      </c>
      <c r="H172" s="46">
        <f t="shared" si="122"/>
        <v>3</v>
      </c>
      <c r="I172" s="45" t="s">
        <v>95</v>
      </c>
      <c r="J172" s="46">
        <f t="shared" si="123"/>
        <v>2</v>
      </c>
      <c r="K172" s="45" t="s">
        <v>95</v>
      </c>
      <c r="L172" s="46">
        <f t="shared" si="124"/>
        <v>2</v>
      </c>
      <c r="M172" s="45" t="s">
        <v>91</v>
      </c>
      <c r="N172" s="46">
        <f t="shared" si="125"/>
        <v>0</v>
      </c>
      <c r="O172" s="44" t="s">
        <v>575</v>
      </c>
      <c r="P172" s="45" t="s">
        <v>96</v>
      </c>
      <c r="Q172" s="50">
        <f t="shared" si="126"/>
        <v>3</v>
      </c>
      <c r="R172" s="53" t="str">
        <f t="shared" si="127"/>
        <v>Low</v>
      </c>
      <c r="S172" s="43"/>
      <c r="T172" s="43" t="s">
        <v>174</v>
      </c>
      <c r="U172" s="43" t="s">
        <v>476</v>
      </c>
      <c r="W172" s="37">
        <v>0</v>
      </c>
      <c r="X172" s="37">
        <v>0</v>
      </c>
      <c r="Y172" s="37">
        <v>0</v>
      </c>
      <c r="Z172" s="37">
        <v>0</v>
      </c>
      <c r="AA172" s="37">
        <v>0</v>
      </c>
      <c r="AB172" s="38">
        <v>0</v>
      </c>
      <c r="AC172" s="38">
        <v>0</v>
      </c>
      <c r="AD172" s="38">
        <v>0</v>
      </c>
      <c r="AE172" s="38">
        <v>0</v>
      </c>
      <c r="AF172" s="38">
        <v>0</v>
      </c>
      <c r="AG172" s="36">
        <f t="shared" si="128"/>
        <v>0</v>
      </c>
      <c r="AI172" s="56"/>
      <c r="AJ172" s="56"/>
      <c r="AK172" s="56"/>
      <c r="AL172" s="56"/>
      <c r="AM172" s="79">
        <f t="shared" si="10"/>
        <v>3</v>
      </c>
      <c r="AN172" s="79">
        <f t="shared" si="11"/>
        <v>16</v>
      </c>
      <c r="AO172" s="79">
        <f t="shared" si="12"/>
        <v>0</v>
      </c>
      <c r="AP172" s="79">
        <f t="shared" si="13"/>
        <v>0</v>
      </c>
      <c r="AQ172" s="79">
        <f t="shared" si="12"/>
        <v>0</v>
      </c>
      <c r="AR172" s="79">
        <f t="shared" si="13"/>
        <v>0</v>
      </c>
      <c r="AS172" s="79">
        <f t="shared" si="14"/>
        <v>0</v>
      </c>
      <c r="AT172" s="79">
        <f t="shared" si="15"/>
        <v>0</v>
      </c>
      <c r="AU172" s="79">
        <f t="shared" si="16"/>
        <v>0</v>
      </c>
      <c r="AV172" s="79">
        <f t="shared" si="17"/>
        <v>0</v>
      </c>
      <c r="AW172" s="79">
        <f t="shared" si="18"/>
        <v>0</v>
      </c>
      <c r="AX172" s="79">
        <f t="shared" si="19"/>
        <v>0</v>
      </c>
      <c r="AY172" s="79">
        <f t="shared" si="20"/>
        <v>2</v>
      </c>
      <c r="AZ172" s="79">
        <f t="shared" si="21"/>
        <v>16</v>
      </c>
      <c r="BA172" s="79">
        <f t="shared" si="22"/>
        <v>0</v>
      </c>
      <c r="BB172" s="79">
        <f t="shared" si="23"/>
        <v>0</v>
      </c>
      <c r="BC172" s="79">
        <f t="shared" si="22"/>
        <v>0</v>
      </c>
      <c r="BD172" s="79">
        <f t="shared" si="23"/>
        <v>0</v>
      </c>
      <c r="BE172" s="79">
        <f t="shared" si="24"/>
        <v>0</v>
      </c>
      <c r="BF172" s="79">
        <f t="shared" si="25"/>
        <v>0</v>
      </c>
      <c r="BG172" s="79">
        <f t="shared" si="26"/>
        <v>0</v>
      </c>
      <c r="BH172" s="79">
        <f t="shared" si="27"/>
        <v>0</v>
      </c>
      <c r="BI172" s="79">
        <f t="shared" si="28"/>
        <v>0</v>
      </c>
      <c r="BJ172" s="79">
        <f t="shared" si="29"/>
        <v>0</v>
      </c>
    </row>
    <row r="173" spans="1:62" ht="41.4" x14ac:dyDescent="0.3">
      <c r="A173" s="12">
        <f>IF(ISBLANK($C173),"",MAX($A$95:$A172)+0.01)</f>
        <v>4.4899999999999896</v>
      </c>
      <c r="B173" s="65" t="s">
        <v>16</v>
      </c>
      <c r="C173" s="66" t="s">
        <v>1523</v>
      </c>
      <c r="D173" s="44" t="s">
        <v>577</v>
      </c>
      <c r="E173" s="45" t="s">
        <v>91</v>
      </c>
      <c r="F173" s="44"/>
      <c r="G173" s="45"/>
      <c r="H173" s="46" t="str">
        <f t="shared" si="122"/>
        <v/>
      </c>
      <c r="I173" s="45"/>
      <c r="J173" s="46" t="str">
        <f t="shared" si="123"/>
        <v/>
      </c>
      <c r="K173" s="45"/>
      <c r="L173" s="46" t="str">
        <f t="shared" si="124"/>
        <v/>
      </c>
      <c r="M173" s="45"/>
      <c r="N173" s="46" t="str">
        <f t="shared" si="125"/>
        <v/>
      </c>
      <c r="O173" s="44" t="s">
        <v>586</v>
      </c>
      <c r="P173" s="45" t="s">
        <v>91</v>
      </c>
      <c r="Q173" s="50">
        <f t="shared" si="126"/>
        <v>0</v>
      </c>
      <c r="R173" s="53" t="str">
        <f t="shared" si="127"/>
        <v/>
      </c>
      <c r="S173" s="43"/>
      <c r="T173" s="43" t="s">
        <v>174</v>
      </c>
      <c r="U173" s="43" t="s">
        <v>476</v>
      </c>
      <c r="W173" s="37">
        <v>0</v>
      </c>
      <c r="X173" s="37">
        <v>0</v>
      </c>
      <c r="Y173" s="37">
        <v>0</v>
      </c>
      <c r="Z173" s="37">
        <v>0</v>
      </c>
      <c r="AA173" s="37">
        <v>0</v>
      </c>
      <c r="AB173" s="38">
        <v>0</v>
      </c>
      <c r="AC173" s="38">
        <v>0</v>
      </c>
      <c r="AD173" s="38">
        <v>0</v>
      </c>
      <c r="AE173" s="38">
        <v>0</v>
      </c>
      <c r="AF173" s="38">
        <v>0</v>
      </c>
      <c r="AG173" s="36">
        <f t="shared" si="128"/>
        <v>0</v>
      </c>
      <c r="AI173" s="56"/>
      <c r="AJ173" s="56"/>
      <c r="AK173" s="56"/>
      <c r="AL173" s="56"/>
      <c r="AM173" s="79">
        <f t="shared" si="10"/>
        <v>0</v>
      </c>
      <c r="AN173" s="79">
        <f t="shared" si="11"/>
        <v>0</v>
      </c>
      <c r="AO173" s="79">
        <f t="shared" si="12"/>
        <v>0</v>
      </c>
      <c r="AP173" s="79">
        <f t="shared" si="13"/>
        <v>0</v>
      </c>
      <c r="AQ173" s="79">
        <f t="shared" si="12"/>
        <v>0</v>
      </c>
      <c r="AR173" s="79">
        <f t="shared" si="13"/>
        <v>0</v>
      </c>
      <c r="AS173" s="79">
        <f t="shared" si="14"/>
        <v>0</v>
      </c>
      <c r="AT173" s="79">
        <f t="shared" si="15"/>
        <v>0</v>
      </c>
      <c r="AU173" s="79">
        <f t="shared" si="16"/>
        <v>0</v>
      </c>
      <c r="AV173" s="79">
        <f t="shared" si="17"/>
        <v>0</v>
      </c>
      <c r="AW173" s="79">
        <f t="shared" si="18"/>
        <v>0</v>
      </c>
      <c r="AX173" s="79">
        <f t="shared" si="19"/>
        <v>0</v>
      </c>
      <c r="AY173" s="79">
        <f t="shared" si="20"/>
        <v>0</v>
      </c>
      <c r="AZ173" s="79">
        <f t="shared" si="21"/>
        <v>0</v>
      </c>
      <c r="BA173" s="79">
        <f t="shared" si="22"/>
        <v>0</v>
      </c>
      <c r="BB173" s="79">
        <f t="shared" si="23"/>
        <v>0</v>
      </c>
      <c r="BC173" s="79">
        <f t="shared" si="22"/>
        <v>0</v>
      </c>
      <c r="BD173" s="79">
        <f t="shared" si="23"/>
        <v>0</v>
      </c>
      <c r="BE173" s="79">
        <f t="shared" si="24"/>
        <v>0</v>
      </c>
      <c r="BF173" s="79">
        <f t="shared" si="25"/>
        <v>0</v>
      </c>
      <c r="BG173" s="79">
        <f t="shared" si="26"/>
        <v>0</v>
      </c>
      <c r="BH173" s="79">
        <f t="shared" si="27"/>
        <v>0</v>
      </c>
      <c r="BI173" s="79">
        <f t="shared" si="28"/>
        <v>0</v>
      </c>
      <c r="BJ173" s="79">
        <f t="shared" si="29"/>
        <v>0</v>
      </c>
    </row>
    <row r="174" spans="1:62" ht="41.4" x14ac:dyDescent="0.3">
      <c r="A174" s="12">
        <f>IF(ISBLANK($C174),"",MAX($A$95:$A173)+0.01)</f>
        <v>4.4999999999999893</v>
      </c>
      <c r="B174" s="65" t="s">
        <v>16</v>
      </c>
      <c r="C174" s="66" t="s">
        <v>356</v>
      </c>
      <c r="D174" s="44" t="s">
        <v>578</v>
      </c>
      <c r="E174" s="45" t="s">
        <v>91</v>
      </c>
      <c r="F174" s="44"/>
      <c r="G174" s="45"/>
      <c r="H174" s="46" t="str">
        <f t="shared" si="122"/>
        <v/>
      </c>
      <c r="I174" s="45"/>
      <c r="J174" s="46" t="str">
        <f t="shared" si="123"/>
        <v/>
      </c>
      <c r="K174" s="45"/>
      <c r="L174" s="46" t="str">
        <f t="shared" si="124"/>
        <v/>
      </c>
      <c r="M174" s="45"/>
      <c r="N174" s="46" t="str">
        <f t="shared" si="125"/>
        <v/>
      </c>
      <c r="O174" s="44" t="s">
        <v>586</v>
      </c>
      <c r="P174" s="45" t="s">
        <v>91</v>
      </c>
      <c r="Q174" s="50">
        <f t="shared" si="126"/>
        <v>0</v>
      </c>
      <c r="R174" s="53" t="str">
        <f t="shared" si="127"/>
        <v/>
      </c>
      <c r="S174" s="43"/>
      <c r="T174" s="43" t="s">
        <v>174</v>
      </c>
      <c r="U174" s="43" t="s">
        <v>476</v>
      </c>
      <c r="W174" s="37">
        <v>0</v>
      </c>
      <c r="X174" s="37">
        <v>0</v>
      </c>
      <c r="Y174" s="37">
        <v>0</v>
      </c>
      <c r="Z174" s="37">
        <v>0</v>
      </c>
      <c r="AA174" s="37">
        <v>0</v>
      </c>
      <c r="AB174" s="38">
        <v>0</v>
      </c>
      <c r="AC174" s="38">
        <v>0</v>
      </c>
      <c r="AD174" s="38">
        <v>0</v>
      </c>
      <c r="AE174" s="38">
        <v>0</v>
      </c>
      <c r="AF174" s="38">
        <v>0</v>
      </c>
      <c r="AG174" s="36">
        <f t="shared" si="128"/>
        <v>0</v>
      </c>
      <c r="AI174" s="56"/>
      <c r="AJ174" s="56"/>
      <c r="AK174" s="56"/>
      <c r="AL174" s="56"/>
      <c r="AM174" s="79">
        <f t="shared" si="10"/>
        <v>0</v>
      </c>
      <c r="AN174" s="79">
        <f t="shared" si="11"/>
        <v>0</v>
      </c>
      <c r="AO174" s="79">
        <f t="shared" si="12"/>
        <v>0</v>
      </c>
      <c r="AP174" s="79">
        <f t="shared" si="13"/>
        <v>0</v>
      </c>
      <c r="AQ174" s="79">
        <f t="shared" si="12"/>
        <v>0</v>
      </c>
      <c r="AR174" s="79">
        <f t="shared" si="13"/>
        <v>0</v>
      </c>
      <c r="AS174" s="79">
        <f t="shared" si="14"/>
        <v>0</v>
      </c>
      <c r="AT174" s="79">
        <f t="shared" si="15"/>
        <v>0</v>
      </c>
      <c r="AU174" s="79">
        <f t="shared" si="16"/>
        <v>0</v>
      </c>
      <c r="AV174" s="79">
        <f t="shared" si="17"/>
        <v>0</v>
      </c>
      <c r="AW174" s="79">
        <f t="shared" si="18"/>
        <v>0</v>
      </c>
      <c r="AX174" s="79">
        <f t="shared" si="19"/>
        <v>0</v>
      </c>
      <c r="AY174" s="79">
        <f t="shared" si="20"/>
        <v>0</v>
      </c>
      <c r="AZ174" s="79">
        <f t="shared" si="21"/>
        <v>0</v>
      </c>
      <c r="BA174" s="79">
        <f t="shared" si="22"/>
        <v>0</v>
      </c>
      <c r="BB174" s="79">
        <f t="shared" si="23"/>
        <v>0</v>
      </c>
      <c r="BC174" s="79">
        <f t="shared" si="22"/>
        <v>0</v>
      </c>
      <c r="BD174" s="79">
        <f t="shared" si="23"/>
        <v>0</v>
      </c>
      <c r="BE174" s="79">
        <f t="shared" si="24"/>
        <v>0</v>
      </c>
      <c r="BF174" s="79">
        <f t="shared" si="25"/>
        <v>0</v>
      </c>
      <c r="BG174" s="79">
        <f t="shared" si="26"/>
        <v>0</v>
      </c>
      <c r="BH174" s="79">
        <f t="shared" si="27"/>
        <v>0</v>
      </c>
      <c r="BI174" s="79">
        <f t="shared" si="28"/>
        <v>0</v>
      </c>
      <c r="BJ174" s="79">
        <f t="shared" si="29"/>
        <v>0</v>
      </c>
    </row>
    <row r="175" spans="1:62" ht="55.2" x14ac:dyDescent="0.3">
      <c r="A175" s="12">
        <f>IF(ISBLANK($C175),"",MAX($A$95:$A174)+0.01)</f>
        <v>4.5099999999999891</v>
      </c>
      <c r="B175" s="65" t="s">
        <v>16</v>
      </c>
      <c r="C175" s="66" t="s">
        <v>357</v>
      </c>
      <c r="D175" s="44" t="s">
        <v>579</v>
      </c>
      <c r="E175" s="45" t="s">
        <v>91</v>
      </c>
      <c r="F175" s="44"/>
      <c r="G175" s="45"/>
      <c r="H175" s="46" t="str">
        <f t="shared" si="122"/>
        <v/>
      </c>
      <c r="I175" s="45"/>
      <c r="J175" s="46" t="str">
        <f t="shared" si="123"/>
        <v/>
      </c>
      <c r="K175" s="45"/>
      <c r="L175" s="46" t="str">
        <f t="shared" si="124"/>
        <v/>
      </c>
      <c r="M175" s="45"/>
      <c r="N175" s="46" t="str">
        <f t="shared" si="125"/>
        <v/>
      </c>
      <c r="O175" s="44" t="s">
        <v>586</v>
      </c>
      <c r="P175" s="45" t="s">
        <v>91</v>
      </c>
      <c r="Q175" s="50">
        <f t="shared" si="126"/>
        <v>0</v>
      </c>
      <c r="R175" s="53" t="str">
        <f t="shared" si="127"/>
        <v/>
      </c>
      <c r="S175" s="43"/>
      <c r="T175" s="43" t="s">
        <v>174</v>
      </c>
      <c r="U175" s="43" t="s">
        <v>476</v>
      </c>
      <c r="W175" s="37">
        <v>0</v>
      </c>
      <c r="X175" s="37">
        <v>0</v>
      </c>
      <c r="Y175" s="37">
        <v>0</v>
      </c>
      <c r="Z175" s="37">
        <v>0</v>
      </c>
      <c r="AA175" s="37">
        <v>0</v>
      </c>
      <c r="AB175" s="38">
        <v>0</v>
      </c>
      <c r="AC175" s="38">
        <v>0</v>
      </c>
      <c r="AD175" s="38">
        <v>0</v>
      </c>
      <c r="AE175" s="38">
        <v>0</v>
      </c>
      <c r="AF175" s="38">
        <v>0</v>
      </c>
      <c r="AG175" s="36">
        <f t="shared" si="128"/>
        <v>0</v>
      </c>
      <c r="AI175" s="56"/>
      <c r="AJ175" s="56"/>
      <c r="AK175" s="56"/>
      <c r="AL175" s="56"/>
      <c r="AM175" s="79">
        <f t="shared" ref="AM175:AM194" si="129">IF(IFERROR(FIND(AM$94,$B175),0)&gt;0,_xlfn.NUMBERVALUE($H175&amp;" "),0)</f>
        <v>0</v>
      </c>
      <c r="AN175" s="79">
        <f t="shared" ref="AN175:AN194" si="130">IF(AM175&gt;0,16,0)</f>
        <v>0</v>
      </c>
      <c r="AO175" s="79">
        <f t="shared" ref="AO175:AQ194" si="131">IF(IFERROR(FIND(AO$94,$B175),0)&gt;0,_xlfn.NUMBERVALUE($H175&amp;" "),0)</f>
        <v>0</v>
      </c>
      <c r="AP175" s="79">
        <f t="shared" ref="AP175:AR194" si="132">IF(AO175&gt;0,16,0)</f>
        <v>0</v>
      </c>
      <c r="AQ175" s="79">
        <f t="shared" si="131"/>
        <v>0</v>
      </c>
      <c r="AR175" s="79">
        <f t="shared" si="132"/>
        <v>0</v>
      </c>
      <c r="AS175" s="79">
        <f t="shared" ref="AS175:AS194" si="133">IF(IFERROR(FIND(AS$94,$B175),0)&gt;0,_xlfn.NUMBERVALUE($H175&amp;" "),0)</f>
        <v>0</v>
      </c>
      <c r="AT175" s="79">
        <f t="shared" ref="AT175:AT194" si="134">IF(AS175&gt;0,16,0)</f>
        <v>0</v>
      </c>
      <c r="AU175" s="79">
        <f t="shared" ref="AU175:AU194" si="135">IF(IFERROR(FIND(AU$94,$B175),0)&gt;0,_xlfn.NUMBERVALUE($H175&amp;" "),0)</f>
        <v>0</v>
      </c>
      <c r="AV175" s="79">
        <f t="shared" ref="AV175:AV194" si="136">IF(AU175&gt;0,16,0)</f>
        <v>0</v>
      </c>
      <c r="AW175" s="79">
        <f t="shared" ref="AW175:AW194" si="137">IF(IFERROR(FIND(AW$94,$B175),0)&gt;0,_xlfn.NUMBERVALUE($H175&amp;" "),0)</f>
        <v>0</v>
      </c>
      <c r="AX175" s="79">
        <f t="shared" ref="AX175:AX194" si="138">IF(AW175&gt;0,16,0)</f>
        <v>0</v>
      </c>
      <c r="AY175" s="79">
        <f t="shared" ref="AY175:AY194" si="139">IF(IFERROR(FIND(AY$94,$B175),0)&gt;0,_xlfn.NUMBERVALUE($J175&amp;" "),0)</f>
        <v>0</v>
      </c>
      <c r="AZ175" s="79">
        <f t="shared" ref="AZ175:AZ194" si="140">IF(AY175&gt;0,16,0)</f>
        <v>0</v>
      </c>
      <c r="BA175" s="79">
        <f t="shared" ref="BA175:BC194" si="141">IF(IFERROR(FIND(BA$94,$B175),0)&gt;0,_xlfn.NUMBERVALUE($J175&amp;" "),0)</f>
        <v>0</v>
      </c>
      <c r="BB175" s="79">
        <f t="shared" ref="BB175:BD194" si="142">IF(BA175&gt;0,16,0)</f>
        <v>0</v>
      </c>
      <c r="BC175" s="79">
        <f t="shared" si="141"/>
        <v>0</v>
      </c>
      <c r="BD175" s="79">
        <f t="shared" si="142"/>
        <v>0</v>
      </c>
      <c r="BE175" s="79">
        <f t="shared" ref="BE175:BE194" si="143">IF(IFERROR(FIND(BE$94,$B175),0)&gt;0,_xlfn.NUMBERVALUE($J175&amp;" "),0)</f>
        <v>0</v>
      </c>
      <c r="BF175" s="79">
        <f t="shared" ref="BF175:BF194" si="144">IF(BE175&gt;0,16,0)</f>
        <v>0</v>
      </c>
      <c r="BG175" s="79">
        <f t="shared" ref="BG175:BG194" si="145">IF(IFERROR(FIND(BG$94,$B175),0)&gt;0,_xlfn.NUMBERVALUE($J175&amp;" "),0)</f>
        <v>0</v>
      </c>
      <c r="BH175" s="79">
        <f t="shared" ref="BH175:BH194" si="146">IF(BG175&gt;0,16,0)</f>
        <v>0</v>
      </c>
      <c r="BI175" s="79">
        <f t="shared" ref="BI175:BI194" si="147">IF(IFERROR(FIND(BI$94,$B175),0)&gt;0,_xlfn.NUMBERVALUE($J175&amp;" "),0)</f>
        <v>0</v>
      </c>
      <c r="BJ175" s="79">
        <f t="shared" ref="BJ175:BJ194" si="148">IF(BI175&gt;0,16,0)</f>
        <v>0</v>
      </c>
    </row>
    <row r="176" spans="1:62" ht="110.4" x14ac:dyDescent="0.3">
      <c r="A176" s="12">
        <f>IF(ISBLANK($C176),"",MAX($A$95:$A175)+0.01)</f>
        <v>4.5199999999999889</v>
      </c>
      <c r="B176" s="65" t="s">
        <v>16</v>
      </c>
      <c r="C176" s="66" t="s">
        <v>164</v>
      </c>
      <c r="D176" s="44" t="s">
        <v>581</v>
      </c>
      <c r="E176" s="45" t="s">
        <v>42</v>
      </c>
      <c r="F176" s="44" t="s">
        <v>601</v>
      </c>
      <c r="G176" s="45" t="s">
        <v>94</v>
      </c>
      <c r="H176" s="46">
        <f t="shared" si="122"/>
        <v>2</v>
      </c>
      <c r="I176" s="45" t="s">
        <v>95</v>
      </c>
      <c r="J176" s="46">
        <f t="shared" si="123"/>
        <v>4</v>
      </c>
      <c r="K176" s="45" t="s">
        <v>95</v>
      </c>
      <c r="L176" s="46">
        <f t="shared" si="124"/>
        <v>4</v>
      </c>
      <c r="M176" s="45" t="s">
        <v>95</v>
      </c>
      <c r="N176" s="46">
        <f t="shared" si="125"/>
        <v>4</v>
      </c>
      <c r="O176" s="44" t="s">
        <v>580</v>
      </c>
      <c r="P176" s="45" t="s">
        <v>95</v>
      </c>
      <c r="Q176" s="50">
        <f t="shared" si="126"/>
        <v>4</v>
      </c>
      <c r="R176" s="53" t="str">
        <f t="shared" si="127"/>
        <v>Low</v>
      </c>
      <c r="S176" s="43"/>
      <c r="T176" s="43" t="s">
        <v>174</v>
      </c>
      <c r="U176" s="43" t="s">
        <v>476</v>
      </c>
      <c r="W176" s="37">
        <v>0</v>
      </c>
      <c r="X176" s="37">
        <v>0</v>
      </c>
      <c r="Y176" s="37">
        <v>0</v>
      </c>
      <c r="Z176" s="37">
        <v>0</v>
      </c>
      <c r="AA176" s="37">
        <v>0</v>
      </c>
      <c r="AB176" s="38">
        <v>0</v>
      </c>
      <c r="AC176" s="38">
        <v>0</v>
      </c>
      <c r="AD176" s="38">
        <v>0</v>
      </c>
      <c r="AE176" s="38">
        <v>0</v>
      </c>
      <c r="AF176" s="38">
        <v>0</v>
      </c>
      <c r="AG176" s="36">
        <f t="shared" ref="AG176" si="149">IF($AG$100=5,SUM(AB176:AF176),IF($AG$100=4,SUM(AB176:AE176),IF($AG$100=3,SUM(AB176:AD176),IF($AG$100=2,SUM(AB176:AC176),AB176))))/$AG$100</f>
        <v>0</v>
      </c>
      <c r="AI176" s="56"/>
      <c r="AJ176" s="56"/>
      <c r="AK176" s="56"/>
      <c r="AL176" s="56"/>
      <c r="AM176" s="79">
        <f t="shared" si="129"/>
        <v>2</v>
      </c>
      <c r="AN176" s="79">
        <f t="shared" si="130"/>
        <v>16</v>
      </c>
      <c r="AO176" s="79">
        <f t="shared" si="131"/>
        <v>0</v>
      </c>
      <c r="AP176" s="79">
        <f t="shared" si="132"/>
        <v>0</v>
      </c>
      <c r="AQ176" s="79">
        <f t="shared" si="131"/>
        <v>0</v>
      </c>
      <c r="AR176" s="79">
        <f t="shared" si="132"/>
        <v>0</v>
      </c>
      <c r="AS176" s="79">
        <f t="shared" si="133"/>
        <v>0</v>
      </c>
      <c r="AT176" s="79">
        <f t="shared" si="134"/>
        <v>0</v>
      </c>
      <c r="AU176" s="79">
        <f t="shared" si="135"/>
        <v>0</v>
      </c>
      <c r="AV176" s="79">
        <f t="shared" si="136"/>
        <v>0</v>
      </c>
      <c r="AW176" s="79">
        <f t="shared" si="137"/>
        <v>0</v>
      </c>
      <c r="AX176" s="79">
        <f t="shared" si="138"/>
        <v>0</v>
      </c>
      <c r="AY176" s="79">
        <f t="shared" si="139"/>
        <v>4</v>
      </c>
      <c r="AZ176" s="79">
        <f t="shared" si="140"/>
        <v>16</v>
      </c>
      <c r="BA176" s="79">
        <f t="shared" si="141"/>
        <v>0</v>
      </c>
      <c r="BB176" s="79">
        <f t="shared" si="142"/>
        <v>0</v>
      </c>
      <c r="BC176" s="79">
        <f t="shared" si="141"/>
        <v>0</v>
      </c>
      <c r="BD176" s="79">
        <f t="shared" si="142"/>
        <v>0</v>
      </c>
      <c r="BE176" s="79">
        <f t="shared" si="143"/>
        <v>0</v>
      </c>
      <c r="BF176" s="79">
        <f t="shared" si="144"/>
        <v>0</v>
      </c>
      <c r="BG176" s="79">
        <f t="shared" si="145"/>
        <v>0</v>
      </c>
      <c r="BH176" s="79">
        <f t="shared" si="146"/>
        <v>0</v>
      </c>
      <c r="BI176" s="79">
        <f t="shared" si="147"/>
        <v>0</v>
      </c>
      <c r="BJ176" s="79">
        <f t="shared" si="148"/>
        <v>0</v>
      </c>
    </row>
    <row r="177" spans="1:62" ht="41.4" x14ac:dyDescent="0.3">
      <c r="A177" s="12">
        <f>IF(ISBLANK($C177),"",MAX($A$95:$A176)+0.01)</f>
        <v>4.5299999999999887</v>
      </c>
      <c r="B177" s="65" t="s">
        <v>16</v>
      </c>
      <c r="C177" s="66" t="s">
        <v>170</v>
      </c>
      <c r="D177" s="44" t="s">
        <v>582</v>
      </c>
      <c r="E177" s="45" t="s">
        <v>91</v>
      </c>
      <c r="F177" s="44"/>
      <c r="G177" s="45"/>
      <c r="H177" s="46" t="str">
        <f t="shared" si="122"/>
        <v/>
      </c>
      <c r="I177" s="45"/>
      <c r="J177" s="46" t="str">
        <f t="shared" si="123"/>
        <v/>
      </c>
      <c r="K177" s="45"/>
      <c r="L177" s="46" t="str">
        <f t="shared" si="124"/>
        <v/>
      </c>
      <c r="M177" s="45"/>
      <c r="N177" s="46" t="str">
        <f t="shared" si="125"/>
        <v/>
      </c>
      <c r="O177" s="44" t="s">
        <v>585</v>
      </c>
      <c r="P177" s="45" t="s">
        <v>91</v>
      </c>
      <c r="Q177" s="46">
        <f t="shared" si="126"/>
        <v>0</v>
      </c>
      <c r="R177" s="53" t="str">
        <f t="shared" si="127"/>
        <v/>
      </c>
      <c r="S177" s="43"/>
      <c r="T177" s="43" t="s">
        <v>174</v>
      </c>
      <c r="U177" s="43" t="s">
        <v>476</v>
      </c>
      <c r="W177" s="37">
        <v>0</v>
      </c>
      <c r="X177" s="37">
        <v>0</v>
      </c>
      <c r="Y177" s="37">
        <v>0</v>
      </c>
      <c r="Z177" s="37">
        <v>0</v>
      </c>
      <c r="AA177" s="37">
        <v>0</v>
      </c>
      <c r="AB177" s="38">
        <v>0</v>
      </c>
      <c r="AC177" s="38">
        <v>0</v>
      </c>
      <c r="AD177" s="38">
        <v>0</v>
      </c>
      <c r="AE177" s="38">
        <v>0</v>
      </c>
      <c r="AF177" s="38">
        <v>0</v>
      </c>
      <c r="AG177" s="36">
        <f>IF($AG$100=5,SUM(AB177:AF177),IF($AG$100=4,SUM(AB177:AE177),IF($AG$100=3,SUM(AB177:AD177),IF($AG$100=2,SUM(AB177:AC177),AB177))))/$AG$100</f>
        <v>0</v>
      </c>
      <c r="AI177" s="56"/>
      <c r="AJ177" s="56"/>
      <c r="AK177" s="56"/>
      <c r="AL177" s="56"/>
      <c r="AM177" s="79">
        <f t="shared" si="129"/>
        <v>0</v>
      </c>
      <c r="AN177" s="79">
        <f t="shared" si="130"/>
        <v>0</v>
      </c>
      <c r="AO177" s="79">
        <f t="shared" si="131"/>
        <v>0</v>
      </c>
      <c r="AP177" s="79">
        <f t="shared" si="132"/>
        <v>0</v>
      </c>
      <c r="AQ177" s="79">
        <f t="shared" si="131"/>
        <v>0</v>
      </c>
      <c r="AR177" s="79">
        <f t="shared" si="132"/>
        <v>0</v>
      </c>
      <c r="AS177" s="79">
        <f t="shared" si="133"/>
        <v>0</v>
      </c>
      <c r="AT177" s="79">
        <f t="shared" si="134"/>
        <v>0</v>
      </c>
      <c r="AU177" s="79">
        <f t="shared" si="135"/>
        <v>0</v>
      </c>
      <c r="AV177" s="79">
        <f t="shared" si="136"/>
        <v>0</v>
      </c>
      <c r="AW177" s="79">
        <f t="shared" si="137"/>
        <v>0</v>
      </c>
      <c r="AX177" s="79">
        <f t="shared" si="138"/>
        <v>0</v>
      </c>
      <c r="AY177" s="79">
        <f t="shared" si="139"/>
        <v>0</v>
      </c>
      <c r="AZ177" s="79">
        <f t="shared" si="140"/>
        <v>0</v>
      </c>
      <c r="BA177" s="79">
        <f t="shared" si="141"/>
        <v>0</v>
      </c>
      <c r="BB177" s="79">
        <f t="shared" si="142"/>
        <v>0</v>
      </c>
      <c r="BC177" s="79">
        <f t="shared" si="141"/>
        <v>0</v>
      </c>
      <c r="BD177" s="79">
        <f t="shared" si="142"/>
        <v>0</v>
      </c>
      <c r="BE177" s="79">
        <f t="shared" si="143"/>
        <v>0</v>
      </c>
      <c r="BF177" s="79">
        <f t="shared" si="144"/>
        <v>0</v>
      </c>
      <c r="BG177" s="79">
        <f t="shared" si="145"/>
        <v>0</v>
      </c>
      <c r="BH177" s="79">
        <f t="shared" si="146"/>
        <v>0</v>
      </c>
      <c r="BI177" s="79">
        <f t="shared" si="147"/>
        <v>0</v>
      </c>
      <c r="BJ177" s="79">
        <f t="shared" si="148"/>
        <v>0</v>
      </c>
    </row>
    <row r="178" spans="1:62" ht="41.4" x14ac:dyDescent="0.3">
      <c r="A178" s="12">
        <f>IF(ISBLANK($C178),"",MAX($A$95:$A177)+0.01)</f>
        <v>4.5399999999999885</v>
      </c>
      <c r="B178" s="65" t="s">
        <v>16</v>
      </c>
      <c r="C178" s="66" t="s">
        <v>169</v>
      </c>
      <c r="D178" s="44" t="s">
        <v>582</v>
      </c>
      <c r="E178" s="45" t="s">
        <v>91</v>
      </c>
      <c r="F178" s="44"/>
      <c r="G178" s="45"/>
      <c r="H178" s="46" t="str">
        <f t="shared" si="122"/>
        <v/>
      </c>
      <c r="I178" s="45"/>
      <c r="J178" s="46" t="str">
        <f t="shared" si="123"/>
        <v/>
      </c>
      <c r="K178" s="45"/>
      <c r="L178" s="46" t="str">
        <f t="shared" si="124"/>
        <v/>
      </c>
      <c r="M178" s="45"/>
      <c r="N178" s="46" t="str">
        <f t="shared" si="125"/>
        <v/>
      </c>
      <c r="O178" s="44" t="s">
        <v>585</v>
      </c>
      <c r="P178" s="45" t="s">
        <v>91</v>
      </c>
      <c r="Q178" s="46">
        <f t="shared" si="126"/>
        <v>0</v>
      </c>
      <c r="R178" s="53" t="str">
        <f t="shared" si="127"/>
        <v/>
      </c>
      <c r="S178" s="43"/>
      <c r="T178" s="43" t="s">
        <v>174</v>
      </c>
      <c r="U178" s="43" t="s">
        <v>476</v>
      </c>
      <c r="W178" s="37">
        <v>0</v>
      </c>
      <c r="X178" s="37">
        <v>0</v>
      </c>
      <c r="Y178" s="37">
        <v>0</v>
      </c>
      <c r="Z178" s="37">
        <v>0</v>
      </c>
      <c r="AA178" s="37">
        <v>0</v>
      </c>
      <c r="AB178" s="38">
        <v>0</v>
      </c>
      <c r="AC178" s="38">
        <v>0</v>
      </c>
      <c r="AD178" s="38">
        <v>0</v>
      </c>
      <c r="AE178" s="38">
        <v>0</v>
      </c>
      <c r="AF178" s="38">
        <v>0</v>
      </c>
      <c r="AG178" s="36">
        <f t="shared" ref="AG178" si="150">IF($AG$100=5,SUM(AB178:AF178),IF($AG$100=4,SUM(AB178:AE178),IF($AG$100=3,SUM(AB178:AD178),IF($AG$100=2,SUM(AB178:AC178),AB178))))/$AG$100</f>
        <v>0</v>
      </c>
      <c r="AI178" s="56"/>
      <c r="AJ178" s="56"/>
      <c r="AK178" s="56"/>
      <c r="AL178" s="56"/>
      <c r="AM178" s="79">
        <f t="shared" si="129"/>
        <v>0</v>
      </c>
      <c r="AN178" s="79">
        <f t="shared" si="130"/>
        <v>0</v>
      </c>
      <c r="AO178" s="79">
        <f t="shared" si="131"/>
        <v>0</v>
      </c>
      <c r="AP178" s="79">
        <f t="shared" si="132"/>
        <v>0</v>
      </c>
      <c r="AQ178" s="79">
        <f t="shared" si="131"/>
        <v>0</v>
      </c>
      <c r="AR178" s="79">
        <f t="shared" si="132"/>
        <v>0</v>
      </c>
      <c r="AS178" s="79">
        <f t="shared" si="133"/>
        <v>0</v>
      </c>
      <c r="AT178" s="79">
        <f t="shared" si="134"/>
        <v>0</v>
      </c>
      <c r="AU178" s="79">
        <f t="shared" si="135"/>
        <v>0</v>
      </c>
      <c r="AV178" s="79">
        <f t="shared" si="136"/>
        <v>0</v>
      </c>
      <c r="AW178" s="79">
        <f t="shared" si="137"/>
        <v>0</v>
      </c>
      <c r="AX178" s="79">
        <f t="shared" si="138"/>
        <v>0</v>
      </c>
      <c r="AY178" s="79">
        <f t="shared" si="139"/>
        <v>0</v>
      </c>
      <c r="AZ178" s="79">
        <f t="shared" si="140"/>
        <v>0</v>
      </c>
      <c r="BA178" s="79">
        <f t="shared" si="141"/>
        <v>0</v>
      </c>
      <c r="BB178" s="79">
        <f t="shared" si="142"/>
        <v>0</v>
      </c>
      <c r="BC178" s="79">
        <f t="shared" si="141"/>
        <v>0</v>
      </c>
      <c r="BD178" s="79">
        <f t="shared" si="142"/>
        <v>0</v>
      </c>
      <c r="BE178" s="79">
        <f t="shared" si="143"/>
        <v>0</v>
      </c>
      <c r="BF178" s="79">
        <f t="shared" si="144"/>
        <v>0</v>
      </c>
      <c r="BG178" s="79">
        <f t="shared" si="145"/>
        <v>0</v>
      </c>
      <c r="BH178" s="79">
        <f t="shared" si="146"/>
        <v>0</v>
      </c>
      <c r="BI178" s="79">
        <f t="shared" si="147"/>
        <v>0</v>
      </c>
      <c r="BJ178" s="79">
        <f t="shared" si="148"/>
        <v>0</v>
      </c>
    </row>
    <row r="179" spans="1:62" ht="41.4" x14ac:dyDescent="0.3">
      <c r="A179" s="12">
        <f>IF(ISBLANK($C179),"",MAX($A$95:$A178)+0.01)</f>
        <v>4.5499999999999883</v>
      </c>
      <c r="B179" s="65" t="s">
        <v>16</v>
      </c>
      <c r="C179" s="66" t="s">
        <v>168</v>
      </c>
      <c r="D179" s="44" t="s">
        <v>583</v>
      </c>
      <c r="E179" s="45" t="s">
        <v>91</v>
      </c>
      <c r="F179" s="44"/>
      <c r="G179" s="45"/>
      <c r="H179" s="46" t="str">
        <f t="shared" si="122"/>
        <v/>
      </c>
      <c r="I179" s="45"/>
      <c r="J179" s="46" t="str">
        <f t="shared" si="123"/>
        <v/>
      </c>
      <c r="K179" s="45"/>
      <c r="L179" s="46" t="str">
        <f t="shared" si="124"/>
        <v/>
      </c>
      <c r="M179" s="45"/>
      <c r="N179" s="46" t="str">
        <f t="shared" si="125"/>
        <v/>
      </c>
      <c r="O179" s="44" t="s">
        <v>585</v>
      </c>
      <c r="P179" s="45" t="s">
        <v>91</v>
      </c>
      <c r="Q179" s="46">
        <f t="shared" si="126"/>
        <v>0</v>
      </c>
      <c r="R179" s="53" t="str">
        <f t="shared" si="127"/>
        <v/>
      </c>
      <c r="S179" s="43"/>
      <c r="T179" s="43" t="s">
        <v>174</v>
      </c>
      <c r="U179" s="43" t="s">
        <v>476</v>
      </c>
      <c r="W179" s="37">
        <v>0</v>
      </c>
      <c r="X179" s="37">
        <v>0</v>
      </c>
      <c r="Y179" s="37">
        <v>0</v>
      </c>
      <c r="Z179" s="37">
        <v>0</v>
      </c>
      <c r="AA179" s="37">
        <v>0</v>
      </c>
      <c r="AB179" s="38">
        <v>0</v>
      </c>
      <c r="AC179" s="38">
        <v>0</v>
      </c>
      <c r="AD179" s="38">
        <v>0</v>
      </c>
      <c r="AE179" s="38">
        <v>0</v>
      </c>
      <c r="AF179" s="38">
        <v>0</v>
      </c>
      <c r="AG179" s="36">
        <f>IF($AG$100=5,SUM(AB179:AF179),IF($AG$100=4,SUM(AB179:AE179),IF($AG$100=3,SUM(AB179:AD179),IF($AG$100=2,SUM(AB179:AC179),AB179))))/$AG$100</f>
        <v>0</v>
      </c>
      <c r="AI179" s="56"/>
      <c r="AJ179" s="56"/>
      <c r="AK179" s="56"/>
      <c r="AL179" s="56"/>
      <c r="AM179" s="79">
        <f t="shared" si="129"/>
        <v>0</v>
      </c>
      <c r="AN179" s="79">
        <f t="shared" si="130"/>
        <v>0</v>
      </c>
      <c r="AO179" s="79">
        <f t="shared" si="131"/>
        <v>0</v>
      </c>
      <c r="AP179" s="79">
        <f t="shared" si="132"/>
        <v>0</v>
      </c>
      <c r="AQ179" s="79">
        <f t="shared" si="131"/>
        <v>0</v>
      </c>
      <c r="AR179" s="79">
        <f t="shared" si="132"/>
        <v>0</v>
      </c>
      <c r="AS179" s="79">
        <f t="shared" si="133"/>
        <v>0</v>
      </c>
      <c r="AT179" s="79">
        <f t="shared" si="134"/>
        <v>0</v>
      </c>
      <c r="AU179" s="79">
        <f t="shared" si="135"/>
        <v>0</v>
      </c>
      <c r="AV179" s="79">
        <f t="shared" si="136"/>
        <v>0</v>
      </c>
      <c r="AW179" s="79">
        <f t="shared" si="137"/>
        <v>0</v>
      </c>
      <c r="AX179" s="79">
        <f t="shared" si="138"/>
        <v>0</v>
      </c>
      <c r="AY179" s="79">
        <f t="shared" si="139"/>
        <v>0</v>
      </c>
      <c r="AZ179" s="79">
        <f t="shared" si="140"/>
        <v>0</v>
      </c>
      <c r="BA179" s="79">
        <f t="shared" si="141"/>
        <v>0</v>
      </c>
      <c r="BB179" s="79">
        <f t="shared" si="142"/>
        <v>0</v>
      </c>
      <c r="BC179" s="79">
        <f t="shared" si="141"/>
        <v>0</v>
      </c>
      <c r="BD179" s="79">
        <f t="shared" si="142"/>
        <v>0</v>
      </c>
      <c r="BE179" s="79">
        <f t="shared" si="143"/>
        <v>0</v>
      </c>
      <c r="BF179" s="79">
        <f t="shared" si="144"/>
        <v>0</v>
      </c>
      <c r="BG179" s="79">
        <f t="shared" si="145"/>
        <v>0</v>
      </c>
      <c r="BH179" s="79">
        <f t="shared" si="146"/>
        <v>0</v>
      </c>
      <c r="BI179" s="79">
        <f t="shared" si="147"/>
        <v>0</v>
      </c>
      <c r="BJ179" s="79">
        <f t="shared" si="148"/>
        <v>0</v>
      </c>
    </row>
    <row r="180" spans="1:62" ht="41.4" x14ac:dyDescent="0.3">
      <c r="A180" s="12">
        <f>IF(ISBLANK($C180),"",MAX($A$95:$A179)+0.01)</f>
        <v>4.5599999999999881</v>
      </c>
      <c r="B180" s="65" t="s">
        <v>16</v>
      </c>
      <c r="C180" s="66" t="s">
        <v>167</v>
      </c>
      <c r="D180" s="44" t="s">
        <v>584</v>
      </c>
      <c r="E180" s="45" t="s">
        <v>91</v>
      </c>
      <c r="F180" s="44"/>
      <c r="G180" s="45"/>
      <c r="H180" s="46" t="str">
        <f t="shared" si="122"/>
        <v/>
      </c>
      <c r="I180" s="45"/>
      <c r="J180" s="46" t="str">
        <f t="shared" si="123"/>
        <v/>
      </c>
      <c r="K180" s="45"/>
      <c r="L180" s="46" t="str">
        <f t="shared" si="124"/>
        <v/>
      </c>
      <c r="M180" s="45"/>
      <c r="N180" s="46" t="str">
        <f t="shared" si="125"/>
        <v/>
      </c>
      <c r="O180" s="44" t="s">
        <v>585</v>
      </c>
      <c r="P180" s="45" t="s">
        <v>91</v>
      </c>
      <c r="Q180" s="46">
        <f t="shared" si="126"/>
        <v>0</v>
      </c>
      <c r="R180" s="53" t="str">
        <f t="shared" si="127"/>
        <v/>
      </c>
      <c r="S180" s="43"/>
      <c r="T180" s="43" t="s">
        <v>174</v>
      </c>
      <c r="U180" s="43" t="s">
        <v>476</v>
      </c>
      <c r="W180" s="37">
        <v>0</v>
      </c>
      <c r="X180" s="37">
        <v>0</v>
      </c>
      <c r="Y180" s="37">
        <v>0</v>
      </c>
      <c r="Z180" s="37">
        <v>0</v>
      </c>
      <c r="AA180" s="37">
        <v>0</v>
      </c>
      <c r="AB180" s="38">
        <v>0</v>
      </c>
      <c r="AC180" s="38">
        <v>0</v>
      </c>
      <c r="AD180" s="38">
        <v>0</v>
      </c>
      <c r="AE180" s="38">
        <v>0</v>
      </c>
      <c r="AF180" s="38">
        <v>0</v>
      </c>
      <c r="AG180" s="36">
        <f>IF($AG$100=5,SUM(AB180:AF180),IF($AG$100=4,SUM(AB180:AE180),IF($AG$100=3,SUM(AB180:AD180),IF($AG$100=2,SUM(AB180:AC180),AB180))))/$AG$100</f>
        <v>0</v>
      </c>
      <c r="AI180" s="56"/>
      <c r="AJ180" s="56"/>
      <c r="AK180" s="56"/>
      <c r="AL180" s="56"/>
      <c r="AM180" s="79">
        <f t="shared" si="129"/>
        <v>0</v>
      </c>
      <c r="AN180" s="79">
        <f t="shared" si="130"/>
        <v>0</v>
      </c>
      <c r="AO180" s="79">
        <f t="shared" si="131"/>
        <v>0</v>
      </c>
      <c r="AP180" s="79">
        <f t="shared" si="132"/>
        <v>0</v>
      </c>
      <c r="AQ180" s="79">
        <f t="shared" si="131"/>
        <v>0</v>
      </c>
      <c r="AR180" s="79">
        <f t="shared" si="132"/>
        <v>0</v>
      </c>
      <c r="AS180" s="79">
        <f t="shared" si="133"/>
        <v>0</v>
      </c>
      <c r="AT180" s="79">
        <f t="shared" si="134"/>
        <v>0</v>
      </c>
      <c r="AU180" s="79">
        <f t="shared" si="135"/>
        <v>0</v>
      </c>
      <c r="AV180" s="79">
        <f t="shared" si="136"/>
        <v>0</v>
      </c>
      <c r="AW180" s="79">
        <f t="shared" si="137"/>
        <v>0</v>
      </c>
      <c r="AX180" s="79">
        <f t="shared" si="138"/>
        <v>0</v>
      </c>
      <c r="AY180" s="79">
        <f t="shared" si="139"/>
        <v>0</v>
      </c>
      <c r="AZ180" s="79">
        <f t="shared" si="140"/>
        <v>0</v>
      </c>
      <c r="BA180" s="79">
        <f t="shared" si="141"/>
        <v>0</v>
      </c>
      <c r="BB180" s="79">
        <f t="shared" si="142"/>
        <v>0</v>
      </c>
      <c r="BC180" s="79">
        <f t="shared" si="141"/>
        <v>0</v>
      </c>
      <c r="BD180" s="79">
        <f t="shared" si="142"/>
        <v>0</v>
      </c>
      <c r="BE180" s="79">
        <f t="shared" si="143"/>
        <v>0</v>
      </c>
      <c r="BF180" s="79">
        <f t="shared" si="144"/>
        <v>0</v>
      </c>
      <c r="BG180" s="79">
        <f t="shared" si="145"/>
        <v>0</v>
      </c>
      <c r="BH180" s="79">
        <f t="shared" si="146"/>
        <v>0</v>
      </c>
      <c r="BI180" s="79">
        <f t="shared" si="147"/>
        <v>0</v>
      </c>
      <c r="BJ180" s="79">
        <f t="shared" si="148"/>
        <v>0</v>
      </c>
    </row>
    <row r="181" spans="1:62" ht="55.2" x14ac:dyDescent="0.3">
      <c r="A181" s="12">
        <f>IF(ISBLANK($C181),"",MAX($A$95:$A180)+0.01)</f>
        <v>4.5699999999999878</v>
      </c>
      <c r="B181" s="65" t="s">
        <v>16</v>
      </c>
      <c r="C181" s="66" t="s">
        <v>166</v>
      </c>
      <c r="D181" s="44" t="s">
        <v>587</v>
      </c>
      <c r="E181" s="45" t="s">
        <v>91</v>
      </c>
      <c r="F181" s="44"/>
      <c r="G181" s="45"/>
      <c r="H181" s="46" t="str">
        <f t="shared" si="122"/>
        <v/>
      </c>
      <c r="I181" s="45"/>
      <c r="J181" s="46" t="str">
        <f t="shared" si="123"/>
        <v/>
      </c>
      <c r="K181" s="45"/>
      <c r="L181" s="46" t="str">
        <f t="shared" si="124"/>
        <v/>
      </c>
      <c r="M181" s="45"/>
      <c r="N181" s="46" t="str">
        <f t="shared" si="125"/>
        <v/>
      </c>
      <c r="O181" s="44" t="s">
        <v>589</v>
      </c>
      <c r="P181" s="45" t="s">
        <v>91</v>
      </c>
      <c r="Q181" s="46">
        <f t="shared" si="126"/>
        <v>0</v>
      </c>
      <c r="R181" s="53" t="str">
        <f t="shared" si="127"/>
        <v/>
      </c>
      <c r="S181" s="43" t="s">
        <v>588</v>
      </c>
      <c r="T181" s="43" t="s">
        <v>590</v>
      </c>
      <c r="U181" s="43"/>
      <c r="W181" s="37">
        <v>0</v>
      </c>
      <c r="X181" s="37">
        <v>0</v>
      </c>
      <c r="Y181" s="37">
        <v>0</v>
      </c>
      <c r="Z181" s="37">
        <v>0</v>
      </c>
      <c r="AA181" s="37">
        <v>0</v>
      </c>
      <c r="AB181" s="38">
        <v>0</v>
      </c>
      <c r="AC181" s="38">
        <v>0</v>
      </c>
      <c r="AD181" s="38">
        <v>0</v>
      </c>
      <c r="AE181" s="38">
        <v>0</v>
      </c>
      <c r="AF181" s="38">
        <v>0</v>
      </c>
      <c r="AG181" s="36">
        <f>IF($AG$100=5,SUM(AB181:AF181),IF($AG$100=4,SUM(AB181:AE181),IF($AG$100=3,SUM(AB181:AD181),IF($AG$100=2,SUM(AB181:AC181),AB181))))/$AG$100</f>
        <v>0</v>
      </c>
      <c r="AI181" s="56"/>
      <c r="AJ181" s="56"/>
      <c r="AK181" s="56"/>
      <c r="AL181" s="56"/>
      <c r="AM181" s="79">
        <f t="shared" si="129"/>
        <v>0</v>
      </c>
      <c r="AN181" s="79">
        <f t="shared" si="130"/>
        <v>0</v>
      </c>
      <c r="AO181" s="79">
        <f t="shared" si="131"/>
        <v>0</v>
      </c>
      <c r="AP181" s="79">
        <f t="shared" si="132"/>
        <v>0</v>
      </c>
      <c r="AQ181" s="79">
        <f t="shared" si="131"/>
        <v>0</v>
      </c>
      <c r="AR181" s="79">
        <f t="shared" si="132"/>
        <v>0</v>
      </c>
      <c r="AS181" s="79">
        <f t="shared" si="133"/>
        <v>0</v>
      </c>
      <c r="AT181" s="79">
        <f t="shared" si="134"/>
        <v>0</v>
      </c>
      <c r="AU181" s="79">
        <f t="shared" si="135"/>
        <v>0</v>
      </c>
      <c r="AV181" s="79">
        <f t="shared" si="136"/>
        <v>0</v>
      </c>
      <c r="AW181" s="79">
        <f t="shared" si="137"/>
        <v>0</v>
      </c>
      <c r="AX181" s="79">
        <f t="shared" si="138"/>
        <v>0</v>
      </c>
      <c r="AY181" s="79">
        <f t="shared" si="139"/>
        <v>0</v>
      </c>
      <c r="AZ181" s="79">
        <f t="shared" si="140"/>
        <v>0</v>
      </c>
      <c r="BA181" s="79">
        <f t="shared" si="141"/>
        <v>0</v>
      </c>
      <c r="BB181" s="79">
        <f t="shared" si="142"/>
        <v>0</v>
      </c>
      <c r="BC181" s="79">
        <f t="shared" si="141"/>
        <v>0</v>
      </c>
      <c r="BD181" s="79">
        <f t="shared" si="142"/>
        <v>0</v>
      </c>
      <c r="BE181" s="79">
        <f t="shared" si="143"/>
        <v>0</v>
      </c>
      <c r="BF181" s="79">
        <f t="shared" si="144"/>
        <v>0</v>
      </c>
      <c r="BG181" s="79">
        <f t="shared" si="145"/>
        <v>0</v>
      </c>
      <c r="BH181" s="79">
        <f t="shared" si="146"/>
        <v>0</v>
      </c>
      <c r="BI181" s="79">
        <f t="shared" si="147"/>
        <v>0</v>
      </c>
      <c r="BJ181" s="79">
        <f t="shared" si="148"/>
        <v>0</v>
      </c>
    </row>
    <row r="182" spans="1:62" ht="82.8" x14ac:dyDescent="0.3">
      <c r="A182" s="12">
        <f>IF(ISBLANK($C182),"",MAX($A$95:$A181)+0.01)</f>
        <v>4.5799999999999876</v>
      </c>
      <c r="B182" s="65" t="s">
        <v>131</v>
      </c>
      <c r="C182" s="66" t="s">
        <v>607</v>
      </c>
      <c r="D182" s="44" t="s">
        <v>600</v>
      </c>
      <c r="E182" s="45" t="s">
        <v>43</v>
      </c>
      <c r="F182" s="44" t="s">
        <v>605</v>
      </c>
      <c r="G182" s="45" t="s">
        <v>94</v>
      </c>
      <c r="H182" s="46">
        <f t="shared" si="122"/>
        <v>1</v>
      </c>
      <c r="I182" s="45" t="s">
        <v>94</v>
      </c>
      <c r="J182" s="46">
        <f t="shared" si="123"/>
        <v>1</v>
      </c>
      <c r="K182" s="45" t="s">
        <v>94</v>
      </c>
      <c r="L182" s="46">
        <f t="shared" si="124"/>
        <v>1</v>
      </c>
      <c r="M182" s="45" t="s">
        <v>94</v>
      </c>
      <c r="N182" s="46">
        <f t="shared" si="125"/>
        <v>1</v>
      </c>
      <c r="O182" s="44" t="s">
        <v>606</v>
      </c>
      <c r="P182" s="45" t="s">
        <v>94</v>
      </c>
      <c r="Q182" s="46">
        <f t="shared" si="126"/>
        <v>1</v>
      </c>
      <c r="R182" s="53" t="str">
        <f t="shared" si="127"/>
        <v>Low</v>
      </c>
      <c r="S182" s="43"/>
      <c r="T182" s="43"/>
      <c r="U182" s="43"/>
      <c r="W182" s="37">
        <v>0</v>
      </c>
      <c r="X182" s="37">
        <v>0</v>
      </c>
      <c r="Y182" s="37">
        <v>0</v>
      </c>
      <c r="Z182" s="37">
        <v>0</v>
      </c>
      <c r="AA182" s="37">
        <v>0</v>
      </c>
      <c r="AB182" s="38">
        <v>0</v>
      </c>
      <c r="AC182" s="38">
        <v>0</v>
      </c>
      <c r="AD182" s="38">
        <v>0</v>
      </c>
      <c r="AE182" s="38">
        <v>0</v>
      </c>
      <c r="AF182" s="38">
        <v>0</v>
      </c>
      <c r="AG182" s="36">
        <f>IF($AG$100=5,SUM(AB182:AF182),IF($AG$100=4,SUM(AB182:AE182),IF($AG$100=3,SUM(AB182:AD182),IF($AG$100=2,SUM(AB182:AC182),AB182))))/$AG$100</f>
        <v>0</v>
      </c>
      <c r="AI182" s="56"/>
      <c r="AJ182" s="56"/>
      <c r="AK182" s="56"/>
      <c r="AL182" s="56"/>
      <c r="AM182" s="79">
        <f t="shared" si="129"/>
        <v>1</v>
      </c>
      <c r="AN182" s="79">
        <f t="shared" si="130"/>
        <v>16</v>
      </c>
      <c r="AO182" s="79">
        <f t="shared" si="131"/>
        <v>1</v>
      </c>
      <c r="AP182" s="79">
        <f t="shared" si="132"/>
        <v>16</v>
      </c>
      <c r="AQ182" s="79">
        <f t="shared" si="131"/>
        <v>0</v>
      </c>
      <c r="AR182" s="79">
        <f t="shared" si="132"/>
        <v>0</v>
      </c>
      <c r="AS182" s="79">
        <f t="shared" si="133"/>
        <v>0</v>
      </c>
      <c r="AT182" s="79">
        <f t="shared" si="134"/>
        <v>0</v>
      </c>
      <c r="AU182" s="79">
        <f t="shared" si="135"/>
        <v>0</v>
      </c>
      <c r="AV182" s="79">
        <f t="shared" si="136"/>
        <v>0</v>
      </c>
      <c r="AW182" s="79">
        <f t="shared" si="137"/>
        <v>0</v>
      </c>
      <c r="AX182" s="79">
        <f t="shared" si="138"/>
        <v>0</v>
      </c>
      <c r="AY182" s="79">
        <f t="shared" si="139"/>
        <v>1</v>
      </c>
      <c r="AZ182" s="79">
        <f t="shared" si="140"/>
        <v>16</v>
      </c>
      <c r="BA182" s="79">
        <f t="shared" si="141"/>
        <v>1</v>
      </c>
      <c r="BB182" s="79">
        <f t="shared" si="142"/>
        <v>16</v>
      </c>
      <c r="BC182" s="79">
        <f t="shared" si="141"/>
        <v>0</v>
      </c>
      <c r="BD182" s="79">
        <f t="shared" si="142"/>
        <v>0</v>
      </c>
      <c r="BE182" s="79">
        <f t="shared" si="143"/>
        <v>0</v>
      </c>
      <c r="BF182" s="79">
        <f t="shared" si="144"/>
        <v>0</v>
      </c>
      <c r="BG182" s="79">
        <f t="shared" si="145"/>
        <v>0</v>
      </c>
      <c r="BH182" s="79">
        <f t="shared" si="146"/>
        <v>0</v>
      </c>
      <c r="BI182" s="79">
        <f t="shared" si="147"/>
        <v>0</v>
      </c>
      <c r="BJ182" s="79">
        <f t="shared" si="148"/>
        <v>0</v>
      </c>
    </row>
    <row r="183" spans="1:62" ht="69" x14ac:dyDescent="0.3">
      <c r="A183" s="12">
        <f>IF(ISBLANK($C183),"",MAX($A$95:$A182)+0.01)</f>
        <v>4.5899999999999874</v>
      </c>
      <c r="B183" s="65" t="s">
        <v>16</v>
      </c>
      <c r="C183" s="66" t="s">
        <v>180</v>
      </c>
      <c r="D183" s="44" t="s">
        <v>595</v>
      </c>
      <c r="E183" s="45" t="s">
        <v>44</v>
      </c>
      <c r="F183" s="44" t="s">
        <v>591</v>
      </c>
      <c r="G183" s="45" t="s">
        <v>94</v>
      </c>
      <c r="H183" s="46">
        <f t="shared" si="122"/>
        <v>3</v>
      </c>
      <c r="I183" s="45" t="s">
        <v>94</v>
      </c>
      <c r="J183" s="46">
        <f t="shared" si="123"/>
        <v>3</v>
      </c>
      <c r="K183" s="45"/>
      <c r="L183" s="46" t="str">
        <f t="shared" si="124"/>
        <v/>
      </c>
      <c r="M183" s="45" t="s">
        <v>95</v>
      </c>
      <c r="N183" s="46">
        <f t="shared" si="125"/>
        <v>6</v>
      </c>
      <c r="O183" s="44" t="s">
        <v>592</v>
      </c>
      <c r="P183" s="45" t="s">
        <v>95</v>
      </c>
      <c r="Q183" s="46">
        <f t="shared" si="126"/>
        <v>6</v>
      </c>
      <c r="R183" s="53" t="str">
        <f t="shared" si="127"/>
        <v>Medium</v>
      </c>
      <c r="S183" s="43" t="s">
        <v>593</v>
      </c>
      <c r="T183" s="43" t="s">
        <v>594</v>
      </c>
      <c r="U183" s="43"/>
      <c r="W183" s="37">
        <v>0</v>
      </c>
      <c r="X183" s="37">
        <v>0</v>
      </c>
      <c r="Y183" s="37">
        <v>0</v>
      </c>
      <c r="Z183" s="37">
        <v>0</v>
      </c>
      <c r="AA183" s="37">
        <v>0</v>
      </c>
      <c r="AB183" s="38">
        <v>0</v>
      </c>
      <c r="AC183" s="38">
        <v>0</v>
      </c>
      <c r="AD183" s="38">
        <v>0</v>
      </c>
      <c r="AE183" s="38">
        <v>0</v>
      </c>
      <c r="AF183" s="38">
        <v>0</v>
      </c>
      <c r="AG183" s="36">
        <f t="shared" ref="AG183:AG194" si="151">IF($AG$100=5,SUM(AB183:AF183),IF($AG$100=4,SUM(AB183:AE183),IF($AG$100=3,SUM(AB183:AD183),IF($AG$100=2,SUM(AB183:AC183),AB183))))/$AG$100</f>
        <v>0</v>
      </c>
      <c r="AI183" s="56"/>
      <c r="AJ183" s="56"/>
      <c r="AK183" s="56"/>
      <c r="AL183" s="56"/>
      <c r="AM183" s="79">
        <f t="shared" si="129"/>
        <v>3</v>
      </c>
      <c r="AN183" s="79">
        <f t="shared" si="130"/>
        <v>16</v>
      </c>
      <c r="AO183" s="79">
        <f t="shared" si="131"/>
        <v>0</v>
      </c>
      <c r="AP183" s="79">
        <f t="shared" si="132"/>
        <v>0</v>
      </c>
      <c r="AQ183" s="79">
        <f t="shared" si="131"/>
        <v>0</v>
      </c>
      <c r="AR183" s="79">
        <f t="shared" si="132"/>
        <v>0</v>
      </c>
      <c r="AS183" s="79">
        <f t="shared" si="133"/>
        <v>0</v>
      </c>
      <c r="AT183" s="79">
        <f t="shared" si="134"/>
        <v>0</v>
      </c>
      <c r="AU183" s="79">
        <f t="shared" si="135"/>
        <v>0</v>
      </c>
      <c r="AV183" s="79">
        <f t="shared" si="136"/>
        <v>0</v>
      </c>
      <c r="AW183" s="79">
        <f t="shared" si="137"/>
        <v>0</v>
      </c>
      <c r="AX183" s="79">
        <f t="shared" si="138"/>
        <v>0</v>
      </c>
      <c r="AY183" s="79">
        <f t="shared" si="139"/>
        <v>3</v>
      </c>
      <c r="AZ183" s="79">
        <f t="shared" si="140"/>
        <v>16</v>
      </c>
      <c r="BA183" s="79">
        <f t="shared" si="141"/>
        <v>0</v>
      </c>
      <c r="BB183" s="79">
        <f t="shared" si="142"/>
        <v>0</v>
      </c>
      <c r="BC183" s="79">
        <f t="shared" si="141"/>
        <v>0</v>
      </c>
      <c r="BD183" s="79">
        <f t="shared" si="142"/>
        <v>0</v>
      </c>
      <c r="BE183" s="79">
        <f t="shared" si="143"/>
        <v>0</v>
      </c>
      <c r="BF183" s="79">
        <f t="shared" si="144"/>
        <v>0</v>
      </c>
      <c r="BG183" s="79">
        <f t="shared" si="145"/>
        <v>0</v>
      </c>
      <c r="BH183" s="79">
        <f t="shared" si="146"/>
        <v>0</v>
      </c>
      <c r="BI183" s="79">
        <f t="shared" si="147"/>
        <v>0</v>
      </c>
      <c r="BJ183" s="79">
        <f t="shared" si="148"/>
        <v>0</v>
      </c>
    </row>
    <row r="184" spans="1:62" ht="55.2" x14ac:dyDescent="0.3">
      <c r="A184" s="12">
        <f>IF(ISBLANK($C184),"",MAX($A$95:$A183)+0.01)</f>
        <v>4.5999999999999872</v>
      </c>
      <c r="B184" s="65" t="s">
        <v>16</v>
      </c>
      <c r="C184" s="66" t="s">
        <v>181</v>
      </c>
      <c r="D184" s="44" t="s">
        <v>608</v>
      </c>
      <c r="E184" s="45" t="s">
        <v>91</v>
      </c>
      <c r="F184" s="44"/>
      <c r="G184" s="45"/>
      <c r="H184" s="46" t="str">
        <f t="shared" si="122"/>
        <v/>
      </c>
      <c r="I184" s="45"/>
      <c r="J184" s="46" t="str">
        <f t="shared" si="123"/>
        <v/>
      </c>
      <c r="K184" s="45"/>
      <c r="L184" s="46" t="str">
        <f t="shared" si="124"/>
        <v/>
      </c>
      <c r="M184" s="45"/>
      <c r="N184" s="46" t="str">
        <f t="shared" si="125"/>
        <v/>
      </c>
      <c r="O184" s="44"/>
      <c r="P184" s="45" t="s">
        <v>91</v>
      </c>
      <c r="Q184" s="46">
        <f t="shared" si="126"/>
        <v>0</v>
      </c>
      <c r="R184" s="53" t="str">
        <f t="shared" si="127"/>
        <v/>
      </c>
      <c r="S184" s="43"/>
      <c r="T184" s="43"/>
      <c r="U184" s="43"/>
      <c r="W184" s="37">
        <v>0</v>
      </c>
      <c r="X184" s="37">
        <v>0</v>
      </c>
      <c r="Y184" s="37">
        <v>0</v>
      </c>
      <c r="Z184" s="37">
        <v>0</v>
      </c>
      <c r="AA184" s="37">
        <v>0</v>
      </c>
      <c r="AB184" s="38">
        <v>0</v>
      </c>
      <c r="AC184" s="38">
        <v>0</v>
      </c>
      <c r="AD184" s="38">
        <v>0</v>
      </c>
      <c r="AE184" s="38">
        <v>0</v>
      </c>
      <c r="AF184" s="38">
        <v>0</v>
      </c>
      <c r="AG184" s="36">
        <f t="shared" si="151"/>
        <v>0</v>
      </c>
      <c r="AI184" s="56"/>
      <c r="AJ184" s="56"/>
      <c r="AK184" s="56"/>
      <c r="AL184" s="56"/>
      <c r="AM184" s="79">
        <f t="shared" si="129"/>
        <v>0</v>
      </c>
      <c r="AN184" s="79">
        <f t="shared" si="130"/>
        <v>0</v>
      </c>
      <c r="AO184" s="79">
        <f t="shared" si="131"/>
        <v>0</v>
      </c>
      <c r="AP184" s="79">
        <f t="shared" si="132"/>
        <v>0</v>
      </c>
      <c r="AQ184" s="79">
        <f t="shared" si="131"/>
        <v>0</v>
      </c>
      <c r="AR184" s="79">
        <f t="shared" si="132"/>
        <v>0</v>
      </c>
      <c r="AS184" s="79">
        <f t="shared" si="133"/>
        <v>0</v>
      </c>
      <c r="AT184" s="79">
        <f t="shared" si="134"/>
        <v>0</v>
      </c>
      <c r="AU184" s="79">
        <f t="shared" si="135"/>
        <v>0</v>
      </c>
      <c r="AV184" s="79">
        <f t="shared" si="136"/>
        <v>0</v>
      </c>
      <c r="AW184" s="79">
        <f t="shared" si="137"/>
        <v>0</v>
      </c>
      <c r="AX184" s="79">
        <f t="shared" si="138"/>
        <v>0</v>
      </c>
      <c r="AY184" s="79">
        <f t="shared" si="139"/>
        <v>0</v>
      </c>
      <c r="AZ184" s="79">
        <f t="shared" si="140"/>
        <v>0</v>
      </c>
      <c r="BA184" s="79">
        <f t="shared" si="141"/>
        <v>0</v>
      </c>
      <c r="BB184" s="79">
        <f t="shared" si="142"/>
        <v>0</v>
      </c>
      <c r="BC184" s="79">
        <f t="shared" si="141"/>
        <v>0</v>
      </c>
      <c r="BD184" s="79">
        <f t="shared" si="142"/>
        <v>0</v>
      </c>
      <c r="BE184" s="79">
        <f t="shared" si="143"/>
        <v>0</v>
      </c>
      <c r="BF184" s="79">
        <f t="shared" si="144"/>
        <v>0</v>
      </c>
      <c r="BG184" s="79">
        <f t="shared" si="145"/>
        <v>0</v>
      </c>
      <c r="BH184" s="79">
        <f t="shared" si="146"/>
        <v>0</v>
      </c>
      <c r="BI184" s="79">
        <f t="shared" si="147"/>
        <v>0</v>
      </c>
      <c r="BJ184" s="79">
        <f t="shared" si="148"/>
        <v>0</v>
      </c>
    </row>
    <row r="185" spans="1:62" ht="55.2" x14ac:dyDescent="0.3">
      <c r="A185" s="12">
        <f>IF(ISBLANK($C185),"",MAX($A$95:$A184)+0.01)</f>
        <v>4.609999999999987</v>
      </c>
      <c r="B185" s="65" t="s">
        <v>16</v>
      </c>
      <c r="C185" s="66" t="s">
        <v>609</v>
      </c>
      <c r="D185" s="44" t="s">
        <v>610</v>
      </c>
      <c r="E185" s="45" t="s">
        <v>42</v>
      </c>
      <c r="F185" s="44" t="s">
        <v>616</v>
      </c>
      <c r="G185" s="45" t="s">
        <v>94</v>
      </c>
      <c r="H185" s="46">
        <f t="shared" si="122"/>
        <v>2</v>
      </c>
      <c r="I185" s="45"/>
      <c r="J185" s="46" t="str">
        <f t="shared" si="123"/>
        <v/>
      </c>
      <c r="K185" s="45" t="s">
        <v>94</v>
      </c>
      <c r="L185" s="46">
        <f t="shared" si="124"/>
        <v>2</v>
      </c>
      <c r="M185" s="45"/>
      <c r="N185" s="46" t="str">
        <f t="shared" si="125"/>
        <v/>
      </c>
      <c r="O185" s="44"/>
      <c r="P185" s="45" t="s">
        <v>91</v>
      </c>
      <c r="Q185" s="46">
        <f t="shared" si="126"/>
        <v>0</v>
      </c>
      <c r="R185" s="53" t="str">
        <f t="shared" si="127"/>
        <v/>
      </c>
      <c r="S185" s="43"/>
      <c r="T185" s="43"/>
      <c r="U185" s="43"/>
      <c r="W185" s="37">
        <v>0</v>
      </c>
      <c r="X185" s="37">
        <v>0</v>
      </c>
      <c r="Y185" s="37">
        <v>0</v>
      </c>
      <c r="Z185" s="37">
        <v>0</v>
      </c>
      <c r="AA185" s="37">
        <v>0</v>
      </c>
      <c r="AB185" s="38">
        <v>0</v>
      </c>
      <c r="AC185" s="38">
        <v>0</v>
      </c>
      <c r="AD185" s="38">
        <v>0</v>
      </c>
      <c r="AE185" s="38">
        <v>0</v>
      </c>
      <c r="AF185" s="38">
        <v>0</v>
      </c>
      <c r="AG185" s="36">
        <f t="shared" si="151"/>
        <v>0</v>
      </c>
      <c r="AI185" s="56"/>
      <c r="AJ185" s="56"/>
      <c r="AK185" s="56"/>
      <c r="AL185" s="56"/>
      <c r="AM185" s="79">
        <f t="shared" si="129"/>
        <v>2</v>
      </c>
      <c r="AN185" s="79">
        <f t="shared" si="130"/>
        <v>16</v>
      </c>
      <c r="AO185" s="79">
        <f t="shared" si="131"/>
        <v>0</v>
      </c>
      <c r="AP185" s="79">
        <f t="shared" si="132"/>
        <v>0</v>
      </c>
      <c r="AQ185" s="79">
        <f t="shared" si="131"/>
        <v>0</v>
      </c>
      <c r="AR185" s="79">
        <f t="shared" si="132"/>
        <v>0</v>
      </c>
      <c r="AS185" s="79">
        <f t="shared" si="133"/>
        <v>0</v>
      </c>
      <c r="AT185" s="79">
        <f t="shared" si="134"/>
        <v>0</v>
      </c>
      <c r="AU185" s="79">
        <f t="shared" si="135"/>
        <v>0</v>
      </c>
      <c r="AV185" s="79">
        <f t="shared" si="136"/>
        <v>0</v>
      </c>
      <c r="AW185" s="79">
        <f t="shared" si="137"/>
        <v>0</v>
      </c>
      <c r="AX185" s="79">
        <f t="shared" si="138"/>
        <v>0</v>
      </c>
      <c r="AY185" s="79">
        <f t="shared" si="139"/>
        <v>0</v>
      </c>
      <c r="AZ185" s="79">
        <f t="shared" si="140"/>
        <v>0</v>
      </c>
      <c r="BA185" s="79">
        <f t="shared" si="141"/>
        <v>0</v>
      </c>
      <c r="BB185" s="79">
        <f t="shared" si="142"/>
        <v>0</v>
      </c>
      <c r="BC185" s="79">
        <f t="shared" si="141"/>
        <v>0</v>
      </c>
      <c r="BD185" s="79">
        <f t="shared" si="142"/>
        <v>0</v>
      </c>
      <c r="BE185" s="79">
        <f t="shared" si="143"/>
        <v>0</v>
      </c>
      <c r="BF185" s="79">
        <f t="shared" si="144"/>
        <v>0</v>
      </c>
      <c r="BG185" s="79">
        <f t="shared" si="145"/>
        <v>0</v>
      </c>
      <c r="BH185" s="79">
        <f t="shared" si="146"/>
        <v>0</v>
      </c>
      <c r="BI185" s="79">
        <f t="shared" si="147"/>
        <v>0</v>
      </c>
      <c r="BJ185" s="79">
        <f t="shared" si="148"/>
        <v>0</v>
      </c>
    </row>
    <row r="186" spans="1:62" ht="96.6" x14ac:dyDescent="0.3">
      <c r="A186" s="12">
        <f>IF(ISBLANK($C186),"",MAX($A$95:$A185)+0.01)</f>
        <v>4.6199999999999868</v>
      </c>
      <c r="B186" s="65" t="s">
        <v>131</v>
      </c>
      <c r="C186" s="66" t="s">
        <v>1536</v>
      </c>
      <c r="D186" s="44" t="s">
        <v>611</v>
      </c>
      <c r="E186" s="45" t="s">
        <v>42</v>
      </c>
      <c r="F186" s="44" t="s">
        <v>615</v>
      </c>
      <c r="G186" s="45" t="s">
        <v>95</v>
      </c>
      <c r="H186" s="46">
        <f t="shared" si="122"/>
        <v>4</v>
      </c>
      <c r="I186" s="45" t="s">
        <v>94</v>
      </c>
      <c r="J186" s="46">
        <f t="shared" si="123"/>
        <v>2</v>
      </c>
      <c r="K186" s="45" t="s">
        <v>95</v>
      </c>
      <c r="L186" s="46">
        <f t="shared" si="124"/>
        <v>4</v>
      </c>
      <c r="M186" s="45"/>
      <c r="N186" s="46" t="str">
        <f t="shared" si="125"/>
        <v/>
      </c>
      <c r="O186" s="44" t="s">
        <v>606</v>
      </c>
      <c r="P186" s="45" t="s">
        <v>94</v>
      </c>
      <c r="Q186" s="46">
        <f t="shared" si="126"/>
        <v>2</v>
      </c>
      <c r="R186" s="53" t="str">
        <f t="shared" si="127"/>
        <v>Low</v>
      </c>
      <c r="S186" s="43"/>
      <c r="T186" s="43"/>
      <c r="U186" s="43"/>
      <c r="W186" s="37">
        <v>0</v>
      </c>
      <c r="X186" s="37">
        <v>0</v>
      </c>
      <c r="Y186" s="37">
        <v>0</v>
      </c>
      <c r="Z186" s="37">
        <v>0</v>
      </c>
      <c r="AA186" s="37">
        <v>0</v>
      </c>
      <c r="AB186" s="38">
        <v>0</v>
      </c>
      <c r="AC186" s="38">
        <v>0</v>
      </c>
      <c r="AD186" s="38">
        <v>0</v>
      </c>
      <c r="AE186" s="38">
        <v>0</v>
      </c>
      <c r="AF186" s="38">
        <v>0</v>
      </c>
      <c r="AG186" s="36">
        <f t="shared" si="151"/>
        <v>0</v>
      </c>
      <c r="AI186" s="56"/>
      <c r="AJ186" s="56"/>
      <c r="AK186" s="56"/>
      <c r="AL186" s="56"/>
      <c r="AM186" s="79">
        <f t="shared" si="129"/>
        <v>4</v>
      </c>
      <c r="AN186" s="79">
        <f t="shared" si="130"/>
        <v>16</v>
      </c>
      <c r="AO186" s="79">
        <f t="shared" si="131"/>
        <v>4</v>
      </c>
      <c r="AP186" s="79">
        <f t="shared" si="132"/>
        <v>16</v>
      </c>
      <c r="AQ186" s="79">
        <f t="shared" si="131"/>
        <v>0</v>
      </c>
      <c r="AR186" s="79">
        <f t="shared" si="132"/>
        <v>0</v>
      </c>
      <c r="AS186" s="79">
        <f t="shared" si="133"/>
        <v>0</v>
      </c>
      <c r="AT186" s="79">
        <f t="shared" si="134"/>
        <v>0</v>
      </c>
      <c r="AU186" s="79">
        <f t="shared" si="135"/>
        <v>0</v>
      </c>
      <c r="AV186" s="79">
        <f t="shared" si="136"/>
        <v>0</v>
      </c>
      <c r="AW186" s="79">
        <f t="shared" si="137"/>
        <v>0</v>
      </c>
      <c r="AX186" s="79">
        <f t="shared" si="138"/>
        <v>0</v>
      </c>
      <c r="AY186" s="79">
        <f t="shared" si="139"/>
        <v>2</v>
      </c>
      <c r="AZ186" s="79">
        <f t="shared" si="140"/>
        <v>16</v>
      </c>
      <c r="BA186" s="79">
        <f t="shared" si="141"/>
        <v>2</v>
      </c>
      <c r="BB186" s="79">
        <f t="shared" si="142"/>
        <v>16</v>
      </c>
      <c r="BC186" s="79">
        <f t="shared" si="141"/>
        <v>0</v>
      </c>
      <c r="BD186" s="79">
        <f t="shared" si="142"/>
        <v>0</v>
      </c>
      <c r="BE186" s="79">
        <f t="shared" si="143"/>
        <v>0</v>
      </c>
      <c r="BF186" s="79">
        <f t="shared" si="144"/>
        <v>0</v>
      </c>
      <c r="BG186" s="79">
        <f t="shared" si="145"/>
        <v>0</v>
      </c>
      <c r="BH186" s="79">
        <f t="shared" si="146"/>
        <v>0</v>
      </c>
      <c r="BI186" s="79">
        <f t="shared" si="147"/>
        <v>0</v>
      </c>
      <c r="BJ186" s="79">
        <f t="shared" si="148"/>
        <v>0</v>
      </c>
    </row>
    <row r="187" spans="1:62" ht="41.4" x14ac:dyDescent="0.3">
      <c r="A187" s="12">
        <f>IF(ISBLANK($C187),"",MAX($A$95:$A186)+0.01)</f>
        <v>4.6299999999999866</v>
      </c>
      <c r="B187" s="65" t="s">
        <v>16</v>
      </c>
      <c r="C187" s="66" t="s">
        <v>65</v>
      </c>
      <c r="D187" s="44" t="s">
        <v>612</v>
      </c>
      <c r="E187" s="45" t="s">
        <v>91</v>
      </c>
      <c r="F187" s="44"/>
      <c r="G187" s="45"/>
      <c r="H187" s="46" t="str">
        <f t="shared" si="122"/>
        <v/>
      </c>
      <c r="I187" s="45"/>
      <c r="J187" s="46" t="str">
        <f t="shared" si="123"/>
        <v/>
      </c>
      <c r="K187" s="45"/>
      <c r="L187" s="46" t="str">
        <f t="shared" si="124"/>
        <v/>
      </c>
      <c r="M187" s="45"/>
      <c r="N187" s="46" t="str">
        <f t="shared" si="125"/>
        <v/>
      </c>
      <c r="O187" s="44"/>
      <c r="P187" s="45" t="s">
        <v>91</v>
      </c>
      <c r="Q187" s="46">
        <f t="shared" si="126"/>
        <v>0</v>
      </c>
      <c r="R187" s="53" t="str">
        <f t="shared" si="127"/>
        <v/>
      </c>
      <c r="S187" s="43"/>
      <c r="T187" s="43"/>
      <c r="U187" s="43"/>
      <c r="W187" s="37">
        <v>0</v>
      </c>
      <c r="X187" s="37">
        <v>0</v>
      </c>
      <c r="Y187" s="37">
        <v>0</v>
      </c>
      <c r="Z187" s="37">
        <v>0</v>
      </c>
      <c r="AA187" s="37">
        <v>0</v>
      </c>
      <c r="AB187" s="38">
        <v>0</v>
      </c>
      <c r="AC187" s="38">
        <v>0</v>
      </c>
      <c r="AD187" s="38">
        <v>0</v>
      </c>
      <c r="AE187" s="38">
        <v>0</v>
      </c>
      <c r="AF187" s="38">
        <v>0</v>
      </c>
      <c r="AG187" s="36">
        <f t="shared" si="151"/>
        <v>0</v>
      </c>
      <c r="AI187" s="56"/>
      <c r="AJ187" s="56"/>
      <c r="AK187" s="56"/>
      <c r="AL187" s="56"/>
      <c r="AM187" s="79">
        <f t="shared" si="129"/>
        <v>0</v>
      </c>
      <c r="AN187" s="79">
        <f t="shared" si="130"/>
        <v>0</v>
      </c>
      <c r="AO187" s="79">
        <f t="shared" si="131"/>
        <v>0</v>
      </c>
      <c r="AP187" s="79">
        <f t="shared" si="132"/>
        <v>0</v>
      </c>
      <c r="AQ187" s="79">
        <f t="shared" si="131"/>
        <v>0</v>
      </c>
      <c r="AR187" s="79">
        <f t="shared" si="132"/>
        <v>0</v>
      </c>
      <c r="AS187" s="79">
        <f t="shared" si="133"/>
        <v>0</v>
      </c>
      <c r="AT187" s="79">
        <f t="shared" si="134"/>
        <v>0</v>
      </c>
      <c r="AU187" s="79">
        <f t="shared" si="135"/>
        <v>0</v>
      </c>
      <c r="AV187" s="79">
        <f t="shared" si="136"/>
        <v>0</v>
      </c>
      <c r="AW187" s="79">
        <f t="shared" si="137"/>
        <v>0</v>
      </c>
      <c r="AX187" s="79">
        <f t="shared" si="138"/>
        <v>0</v>
      </c>
      <c r="AY187" s="79">
        <f t="shared" si="139"/>
        <v>0</v>
      </c>
      <c r="AZ187" s="79">
        <f t="shared" si="140"/>
        <v>0</v>
      </c>
      <c r="BA187" s="79">
        <f t="shared" si="141"/>
        <v>0</v>
      </c>
      <c r="BB187" s="79">
        <f t="shared" si="142"/>
        <v>0</v>
      </c>
      <c r="BC187" s="79">
        <f t="shared" si="141"/>
        <v>0</v>
      </c>
      <c r="BD187" s="79">
        <f t="shared" si="142"/>
        <v>0</v>
      </c>
      <c r="BE187" s="79">
        <f t="shared" si="143"/>
        <v>0</v>
      </c>
      <c r="BF187" s="79">
        <f t="shared" si="144"/>
        <v>0</v>
      </c>
      <c r="BG187" s="79">
        <f t="shared" si="145"/>
        <v>0</v>
      </c>
      <c r="BH187" s="79">
        <f t="shared" si="146"/>
        <v>0</v>
      </c>
      <c r="BI187" s="79">
        <f t="shared" si="147"/>
        <v>0</v>
      </c>
      <c r="BJ187" s="79">
        <f t="shared" si="148"/>
        <v>0</v>
      </c>
    </row>
    <row r="188" spans="1:62" ht="69" x14ac:dyDescent="0.3">
      <c r="A188" s="12">
        <f>IF(ISBLANK($C188),"",MAX($A$95:$A187)+0.01)</f>
        <v>4.6399999999999864</v>
      </c>
      <c r="B188" s="65" t="s">
        <v>19</v>
      </c>
      <c r="C188" s="66" t="s">
        <v>661</v>
      </c>
      <c r="D188" s="44" t="s">
        <v>617</v>
      </c>
      <c r="E188" s="45" t="s">
        <v>42</v>
      </c>
      <c r="F188" s="44" t="s">
        <v>618</v>
      </c>
      <c r="G188" s="45" t="s">
        <v>95</v>
      </c>
      <c r="H188" s="46">
        <f t="shared" si="122"/>
        <v>4</v>
      </c>
      <c r="I188" s="45" t="s">
        <v>94</v>
      </c>
      <c r="J188" s="46">
        <f t="shared" si="123"/>
        <v>2</v>
      </c>
      <c r="K188" s="45"/>
      <c r="L188" s="46" t="str">
        <f t="shared" si="124"/>
        <v/>
      </c>
      <c r="M188" s="45"/>
      <c r="N188" s="46" t="str">
        <f t="shared" si="125"/>
        <v/>
      </c>
      <c r="O188" s="44"/>
      <c r="P188" s="45"/>
      <c r="Q188" s="46" t="str">
        <f t="shared" si="126"/>
        <v/>
      </c>
      <c r="R188" s="53" t="str">
        <f t="shared" si="127"/>
        <v/>
      </c>
      <c r="S188" s="43"/>
      <c r="T188" s="43"/>
      <c r="U188" s="43"/>
      <c r="W188" s="37">
        <v>0</v>
      </c>
      <c r="X188" s="37">
        <v>0</v>
      </c>
      <c r="Y188" s="37">
        <v>0</v>
      </c>
      <c r="Z188" s="37">
        <v>0</v>
      </c>
      <c r="AA188" s="37">
        <v>0</v>
      </c>
      <c r="AB188" s="38">
        <v>0</v>
      </c>
      <c r="AC188" s="38">
        <v>0</v>
      </c>
      <c r="AD188" s="38">
        <v>0</v>
      </c>
      <c r="AE188" s="38">
        <v>0</v>
      </c>
      <c r="AF188" s="38">
        <v>0</v>
      </c>
      <c r="AG188" s="36">
        <f t="shared" si="151"/>
        <v>0</v>
      </c>
      <c r="AI188" s="56"/>
      <c r="AJ188" s="56"/>
      <c r="AK188" s="56"/>
      <c r="AL188" s="56"/>
      <c r="AM188" s="79">
        <f t="shared" si="129"/>
        <v>0</v>
      </c>
      <c r="AN188" s="79">
        <f t="shared" si="130"/>
        <v>0</v>
      </c>
      <c r="AO188" s="79">
        <f t="shared" si="131"/>
        <v>0</v>
      </c>
      <c r="AP188" s="79">
        <f t="shared" si="132"/>
        <v>0</v>
      </c>
      <c r="AQ188" s="79">
        <f t="shared" si="131"/>
        <v>0</v>
      </c>
      <c r="AR188" s="79">
        <f t="shared" si="132"/>
        <v>0</v>
      </c>
      <c r="AS188" s="79">
        <f t="shared" si="133"/>
        <v>4</v>
      </c>
      <c r="AT188" s="79">
        <f t="shared" si="134"/>
        <v>16</v>
      </c>
      <c r="AU188" s="79">
        <f t="shared" si="135"/>
        <v>0</v>
      </c>
      <c r="AV188" s="79">
        <f t="shared" si="136"/>
        <v>0</v>
      </c>
      <c r="AW188" s="79">
        <f t="shared" si="137"/>
        <v>0</v>
      </c>
      <c r="AX188" s="79">
        <f t="shared" si="138"/>
        <v>0</v>
      </c>
      <c r="AY188" s="79">
        <f t="shared" si="139"/>
        <v>0</v>
      </c>
      <c r="AZ188" s="79">
        <f t="shared" si="140"/>
        <v>0</v>
      </c>
      <c r="BA188" s="79">
        <f t="shared" si="141"/>
        <v>0</v>
      </c>
      <c r="BB188" s="79">
        <f t="shared" si="142"/>
        <v>0</v>
      </c>
      <c r="BC188" s="79">
        <f t="shared" si="141"/>
        <v>0</v>
      </c>
      <c r="BD188" s="79">
        <f t="shared" si="142"/>
        <v>0</v>
      </c>
      <c r="BE188" s="79">
        <f t="shared" si="143"/>
        <v>2</v>
      </c>
      <c r="BF188" s="79">
        <f t="shared" si="144"/>
        <v>16</v>
      </c>
      <c r="BG188" s="79">
        <f t="shared" si="145"/>
        <v>0</v>
      </c>
      <c r="BH188" s="79">
        <f t="shared" si="146"/>
        <v>0</v>
      </c>
      <c r="BI188" s="79">
        <f t="shared" si="147"/>
        <v>0</v>
      </c>
      <c r="BJ188" s="79">
        <f t="shared" si="148"/>
        <v>0</v>
      </c>
    </row>
    <row r="189" spans="1:62" ht="55.2" x14ac:dyDescent="0.3">
      <c r="A189" s="12">
        <f>IF(ISBLANK($C189),"",MAX($A$95:$A188)+0.01)</f>
        <v>4.6499999999999861</v>
      </c>
      <c r="B189" s="65" t="s">
        <v>19</v>
      </c>
      <c r="C189" s="66" t="s">
        <v>159</v>
      </c>
      <c r="D189" s="44" t="s">
        <v>613</v>
      </c>
      <c r="E189" s="45" t="s">
        <v>42</v>
      </c>
      <c r="F189" s="44" t="s">
        <v>614</v>
      </c>
      <c r="G189" s="45" t="s">
        <v>95</v>
      </c>
      <c r="H189" s="46">
        <f t="shared" si="122"/>
        <v>4</v>
      </c>
      <c r="I189" s="45"/>
      <c r="J189" s="46" t="str">
        <f t="shared" si="123"/>
        <v/>
      </c>
      <c r="K189" s="45" t="s">
        <v>95</v>
      </c>
      <c r="L189" s="46">
        <f t="shared" si="124"/>
        <v>4</v>
      </c>
      <c r="M189" s="45"/>
      <c r="N189" s="46" t="str">
        <f t="shared" si="125"/>
        <v/>
      </c>
      <c r="O189" s="44"/>
      <c r="P189" s="45"/>
      <c r="Q189" s="46" t="str">
        <f t="shared" si="126"/>
        <v/>
      </c>
      <c r="R189" s="53" t="str">
        <f t="shared" si="127"/>
        <v/>
      </c>
      <c r="S189" s="43"/>
      <c r="T189" s="43"/>
      <c r="U189" s="43"/>
      <c r="W189" s="37">
        <v>0</v>
      </c>
      <c r="X189" s="37">
        <v>0</v>
      </c>
      <c r="Y189" s="37">
        <v>0</v>
      </c>
      <c r="Z189" s="37">
        <v>0</v>
      </c>
      <c r="AA189" s="37">
        <v>0</v>
      </c>
      <c r="AB189" s="38">
        <v>0</v>
      </c>
      <c r="AC189" s="38">
        <v>0</v>
      </c>
      <c r="AD189" s="38">
        <v>0</v>
      </c>
      <c r="AE189" s="38">
        <v>0</v>
      </c>
      <c r="AF189" s="38">
        <v>0</v>
      </c>
      <c r="AG189" s="36">
        <f t="shared" si="151"/>
        <v>0</v>
      </c>
      <c r="AI189" s="56"/>
      <c r="AJ189" s="56"/>
      <c r="AK189" s="56"/>
      <c r="AL189" s="56"/>
      <c r="AM189" s="79">
        <f t="shared" si="129"/>
        <v>0</v>
      </c>
      <c r="AN189" s="79">
        <f t="shared" si="130"/>
        <v>0</v>
      </c>
      <c r="AO189" s="79">
        <f t="shared" si="131"/>
        <v>0</v>
      </c>
      <c r="AP189" s="79">
        <f t="shared" si="132"/>
        <v>0</v>
      </c>
      <c r="AQ189" s="79">
        <f t="shared" si="131"/>
        <v>0</v>
      </c>
      <c r="AR189" s="79">
        <f t="shared" si="132"/>
        <v>0</v>
      </c>
      <c r="AS189" s="79">
        <f t="shared" si="133"/>
        <v>4</v>
      </c>
      <c r="AT189" s="79">
        <f t="shared" si="134"/>
        <v>16</v>
      </c>
      <c r="AU189" s="79">
        <f t="shared" si="135"/>
        <v>0</v>
      </c>
      <c r="AV189" s="79">
        <f t="shared" si="136"/>
        <v>0</v>
      </c>
      <c r="AW189" s="79">
        <f t="shared" si="137"/>
        <v>0</v>
      </c>
      <c r="AX189" s="79">
        <f t="shared" si="138"/>
        <v>0</v>
      </c>
      <c r="AY189" s="79">
        <f t="shared" si="139"/>
        <v>0</v>
      </c>
      <c r="AZ189" s="79">
        <f t="shared" si="140"/>
        <v>0</v>
      </c>
      <c r="BA189" s="79">
        <f t="shared" si="141"/>
        <v>0</v>
      </c>
      <c r="BB189" s="79">
        <f t="shared" si="142"/>
        <v>0</v>
      </c>
      <c r="BC189" s="79">
        <f t="shared" si="141"/>
        <v>0</v>
      </c>
      <c r="BD189" s="79">
        <f t="shared" si="142"/>
        <v>0</v>
      </c>
      <c r="BE189" s="79">
        <f t="shared" si="143"/>
        <v>0</v>
      </c>
      <c r="BF189" s="79">
        <f t="shared" si="144"/>
        <v>0</v>
      </c>
      <c r="BG189" s="79">
        <f t="shared" si="145"/>
        <v>0</v>
      </c>
      <c r="BH189" s="79">
        <f t="shared" si="146"/>
        <v>0</v>
      </c>
      <c r="BI189" s="79">
        <f t="shared" si="147"/>
        <v>0</v>
      </c>
      <c r="BJ189" s="79">
        <f t="shared" si="148"/>
        <v>0</v>
      </c>
    </row>
    <row r="190" spans="1:62" ht="41.4" x14ac:dyDescent="0.3">
      <c r="A190" s="12">
        <f>IF(ISBLANK($C190),"",MAX($A$95:$A189)+0.01)</f>
        <v>4.6599999999999859</v>
      </c>
      <c r="B190" s="65" t="s">
        <v>19</v>
      </c>
      <c r="C190" s="66" t="s">
        <v>619</v>
      </c>
      <c r="D190" s="44" t="s">
        <v>620</v>
      </c>
      <c r="E190" s="45" t="s">
        <v>42</v>
      </c>
      <c r="F190" s="44" t="s">
        <v>621</v>
      </c>
      <c r="G190" s="45" t="s">
        <v>95</v>
      </c>
      <c r="H190" s="46">
        <f t="shared" si="122"/>
        <v>4</v>
      </c>
      <c r="I190" s="45"/>
      <c r="J190" s="46" t="str">
        <f t="shared" si="123"/>
        <v/>
      </c>
      <c r="K190" s="45"/>
      <c r="L190" s="46" t="str">
        <f t="shared" si="124"/>
        <v/>
      </c>
      <c r="M190" s="45"/>
      <c r="N190" s="46" t="str">
        <f t="shared" si="125"/>
        <v/>
      </c>
      <c r="O190" s="44"/>
      <c r="P190" s="45"/>
      <c r="Q190" s="46" t="str">
        <f t="shared" si="126"/>
        <v/>
      </c>
      <c r="R190" s="53" t="str">
        <f t="shared" si="127"/>
        <v/>
      </c>
      <c r="S190" s="43"/>
      <c r="T190" s="43"/>
      <c r="U190" s="43"/>
      <c r="W190" s="37">
        <v>0</v>
      </c>
      <c r="X190" s="37">
        <v>0</v>
      </c>
      <c r="Y190" s="37">
        <v>0</v>
      </c>
      <c r="Z190" s="37">
        <v>0</v>
      </c>
      <c r="AA190" s="37">
        <v>0</v>
      </c>
      <c r="AB190" s="38">
        <v>0</v>
      </c>
      <c r="AC190" s="38">
        <v>0</v>
      </c>
      <c r="AD190" s="38">
        <v>0</v>
      </c>
      <c r="AE190" s="38">
        <v>0</v>
      </c>
      <c r="AF190" s="38">
        <v>0</v>
      </c>
      <c r="AG190" s="36">
        <f t="shared" si="151"/>
        <v>0</v>
      </c>
      <c r="AI190" s="56"/>
      <c r="AJ190" s="56"/>
      <c r="AK190" s="56"/>
      <c r="AL190" s="56"/>
      <c r="AM190" s="79">
        <f t="shared" si="129"/>
        <v>0</v>
      </c>
      <c r="AN190" s="79">
        <f t="shared" si="130"/>
        <v>0</v>
      </c>
      <c r="AO190" s="79">
        <f t="shared" si="131"/>
        <v>0</v>
      </c>
      <c r="AP190" s="79">
        <f t="shared" si="132"/>
        <v>0</v>
      </c>
      <c r="AQ190" s="79">
        <f t="shared" si="131"/>
        <v>0</v>
      </c>
      <c r="AR190" s="79">
        <f t="shared" si="132"/>
        <v>0</v>
      </c>
      <c r="AS190" s="79">
        <f t="shared" si="133"/>
        <v>4</v>
      </c>
      <c r="AT190" s="79">
        <f t="shared" si="134"/>
        <v>16</v>
      </c>
      <c r="AU190" s="79">
        <f t="shared" si="135"/>
        <v>0</v>
      </c>
      <c r="AV190" s="79">
        <f t="shared" si="136"/>
        <v>0</v>
      </c>
      <c r="AW190" s="79">
        <f t="shared" si="137"/>
        <v>0</v>
      </c>
      <c r="AX190" s="79">
        <f t="shared" si="138"/>
        <v>0</v>
      </c>
      <c r="AY190" s="79">
        <f t="shared" si="139"/>
        <v>0</v>
      </c>
      <c r="AZ190" s="79">
        <f t="shared" si="140"/>
        <v>0</v>
      </c>
      <c r="BA190" s="79">
        <f t="shared" si="141"/>
        <v>0</v>
      </c>
      <c r="BB190" s="79">
        <f t="shared" si="142"/>
        <v>0</v>
      </c>
      <c r="BC190" s="79">
        <f t="shared" si="141"/>
        <v>0</v>
      </c>
      <c r="BD190" s="79">
        <f t="shared" si="142"/>
        <v>0</v>
      </c>
      <c r="BE190" s="79">
        <f t="shared" si="143"/>
        <v>0</v>
      </c>
      <c r="BF190" s="79">
        <f t="shared" si="144"/>
        <v>0</v>
      </c>
      <c r="BG190" s="79">
        <f t="shared" si="145"/>
        <v>0</v>
      </c>
      <c r="BH190" s="79">
        <f t="shared" si="146"/>
        <v>0</v>
      </c>
      <c r="BI190" s="79">
        <f t="shared" si="147"/>
        <v>0</v>
      </c>
      <c r="BJ190" s="79">
        <f t="shared" si="148"/>
        <v>0</v>
      </c>
    </row>
    <row r="191" spans="1:62" x14ac:dyDescent="0.3">
      <c r="A191" s="12" t="str">
        <f>IF(ISBLANK($C191),"",MAX($A$95:$A190)+0.01)</f>
        <v/>
      </c>
      <c r="B191" s="51"/>
      <c r="C191" s="44"/>
      <c r="D191" s="44"/>
      <c r="E191" s="45"/>
      <c r="F191" s="44"/>
      <c r="G191" s="45"/>
      <c r="H191" s="46" t="str">
        <f t="shared" si="122"/>
        <v/>
      </c>
      <c r="I191" s="45"/>
      <c r="J191" s="46" t="str">
        <f t="shared" si="123"/>
        <v/>
      </c>
      <c r="K191" s="45"/>
      <c r="L191" s="46" t="str">
        <f t="shared" si="124"/>
        <v/>
      </c>
      <c r="M191" s="45"/>
      <c r="N191" s="46" t="str">
        <f t="shared" si="125"/>
        <v/>
      </c>
      <c r="O191" s="44"/>
      <c r="P191" s="45"/>
      <c r="Q191" s="46" t="str">
        <f t="shared" si="126"/>
        <v/>
      </c>
      <c r="R191" s="53" t="str">
        <f t="shared" si="127"/>
        <v/>
      </c>
      <c r="S191" s="43"/>
      <c r="T191" s="43"/>
      <c r="U191" s="43"/>
      <c r="W191" s="37">
        <v>0</v>
      </c>
      <c r="X191" s="37">
        <v>0</v>
      </c>
      <c r="Y191" s="37">
        <v>0</v>
      </c>
      <c r="Z191" s="37">
        <v>0</v>
      </c>
      <c r="AA191" s="37">
        <v>0</v>
      </c>
      <c r="AB191" s="38">
        <v>0</v>
      </c>
      <c r="AC191" s="38">
        <v>0</v>
      </c>
      <c r="AD191" s="38">
        <v>0</v>
      </c>
      <c r="AE191" s="38">
        <v>0</v>
      </c>
      <c r="AF191" s="38">
        <v>0</v>
      </c>
      <c r="AG191" s="36">
        <f t="shared" si="151"/>
        <v>0</v>
      </c>
      <c r="AH191" s="56"/>
      <c r="AI191" s="56"/>
      <c r="AJ191" s="56"/>
      <c r="AK191" s="56"/>
      <c r="AL191" s="56"/>
      <c r="AM191" s="79">
        <f t="shared" si="129"/>
        <v>0</v>
      </c>
      <c r="AN191" s="79">
        <f t="shared" si="130"/>
        <v>0</v>
      </c>
      <c r="AO191" s="79">
        <f t="shared" si="131"/>
        <v>0</v>
      </c>
      <c r="AP191" s="79">
        <f t="shared" si="132"/>
        <v>0</v>
      </c>
      <c r="AQ191" s="79">
        <f t="shared" si="131"/>
        <v>0</v>
      </c>
      <c r="AR191" s="79">
        <f t="shared" si="132"/>
        <v>0</v>
      </c>
      <c r="AS191" s="79">
        <f t="shared" si="133"/>
        <v>0</v>
      </c>
      <c r="AT191" s="79">
        <f t="shared" si="134"/>
        <v>0</v>
      </c>
      <c r="AU191" s="79">
        <f t="shared" si="135"/>
        <v>0</v>
      </c>
      <c r="AV191" s="79">
        <f t="shared" si="136"/>
        <v>0</v>
      </c>
      <c r="AW191" s="79">
        <f t="shared" si="137"/>
        <v>0</v>
      </c>
      <c r="AX191" s="79">
        <f t="shared" si="138"/>
        <v>0</v>
      </c>
      <c r="AY191" s="79">
        <f t="shared" si="139"/>
        <v>0</v>
      </c>
      <c r="AZ191" s="79">
        <f t="shared" si="140"/>
        <v>0</v>
      </c>
      <c r="BA191" s="79">
        <f t="shared" si="141"/>
        <v>0</v>
      </c>
      <c r="BB191" s="79">
        <f t="shared" si="142"/>
        <v>0</v>
      </c>
      <c r="BC191" s="79">
        <f t="shared" si="141"/>
        <v>0</v>
      </c>
      <c r="BD191" s="79">
        <f t="shared" si="142"/>
        <v>0</v>
      </c>
      <c r="BE191" s="79">
        <f t="shared" si="143"/>
        <v>0</v>
      </c>
      <c r="BF191" s="79">
        <f t="shared" si="144"/>
        <v>0</v>
      </c>
      <c r="BG191" s="79">
        <f t="shared" si="145"/>
        <v>0</v>
      </c>
      <c r="BH191" s="79">
        <f t="shared" si="146"/>
        <v>0</v>
      </c>
      <c r="BI191" s="79">
        <f t="shared" si="147"/>
        <v>0</v>
      </c>
      <c r="BJ191" s="79">
        <f t="shared" si="148"/>
        <v>0</v>
      </c>
    </row>
    <row r="192" spans="1:62" x14ac:dyDescent="0.3">
      <c r="A192" s="12" t="str">
        <f>IF(ISBLANK($C192),"",MAX($A$95:$A191)+0.01)</f>
        <v/>
      </c>
      <c r="B192" s="51"/>
      <c r="C192" s="44"/>
      <c r="D192" s="44"/>
      <c r="E192" s="45"/>
      <c r="F192" s="44"/>
      <c r="G192" s="45"/>
      <c r="H192" s="46" t="str">
        <f t="shared" si="122"/>
        <v/>
      </c>
      <c r="I192" s="45"/>
      <c r="J192" s="46" t="str">
        <f t="shared" si="123"/>
        <v/>
      </c>
      <c r="K192" s="45"/>
      <c r="L192" s="46" t="str">
        <f t="shared" si="124"/>
        <v/>
      </c>
      <c r="M192" s="45"/>
      <c r="N192" s="46" t="str">
        <f t="shared" si="125"/>
        <v/>
      </c>
      <c r="O192" s="44"/>
      <c r="P192" s="45"/>
      <c r="Q192" s="46" t="str">
        <f t="shared" si="126"/>
        <v/>
      </c>
      <c r="R192" s="53" t="str">
        <f t="shared" si="127"/>
        <v/>
      </c>
      <c r="S192" s="43"/>
      <c r="T192" s="43"/>
      <c r="U192" s="43"/>
      <c r="W192" s="37">
        <v>0</v>
      </c>
      <c r="X192" s="37">
        <v>0</v>
      </c>
      <c r="Y192" s="37">
        <v>0</v>
      </c>
      <c r="Z192" s="37">
        <v>0</v>
      </c>
      <c r="AA192" s="37">
        <v>0</v>
      </c>
      <c r="AB192" s="38">
        <v>0</v>
      </c>
      <c r="AC192" s="38">
        <v>0</v>
      </c>
      <c r="AD192" s="38">
        <v>0</v>
      </c>
      <c r="AE192" s="38">
        <v>0</v>
      </c>
      <c r="AF192" s="38">
        <v>0</v>
      </c>
      <c r="AG192" s="36">
        <f t="shared" si="151"/>
        <v>0</v>
      </c>
      <c r="AH192" s="56"/>
      <c r="AI192" s="56"/>
      <c r="AJ192" s="56"/>
      <c r="AK192" s="56"/>
      <c r="AL192" s="56"/>
      <c r="AM192" s="79">
        <f t="shared" si="129"/>
        <v>0</v>
      </c>
      <c r="AN192" s="79">
        <f t="shared" si="130"/>
        <v>0</v>
      </c>
      <c r="AO192" s="79">
        <f t="shared" si="131"/>
        <v>0</v>
      </c>
      <c r="AP192" s="79">
        <f t="shared" si="132"/>
        <v>0</v>
      </c>
      <c r="AQ192" s="79">
        <f t="shared" si="131"/>
        <v>0</v>
      </c>
      <c r="AR192" s="79">
        <f t="shared" si="132"/>
        <v>0</v>
      </c>
      <c r="AS192" s="79">
        <f t="shared" si="133"/>
        <v>0</v>
      </c>
      <c r="AT192" s="79">
        <f t="shared" si="134"/>
        <v>0</v>
      </c>
      <c r="AU192" s="79">
        <f t="shared" si="135"/>
        <v>0</v>
      </c>
      <c r="AV192" s="79">
        <f t="shared" si="136"/>
        <v>0</v>
      </c>
      <c r="AW192" s="79">
        <f t="shared" si="137"/>
        <v>0</v>
      </c>
      <c r="AX192" s="79">
        <f t="shared" si="138"/>
        <v>0</v>
      </c>
      <c r="AY192" s="79">
        <f t="shared" si="139"/>
        <v>0</v>
      </c>
      <c r="AZ192" s="79">
        <f t="shared" si="140"/>
        <v>0</v>
      </c>
      <c r="BA192" s="79">
        <f t="shared" si="141"/>
        <v>0</v>
      </c>
      <c r="BB192" s="79">
        <f t="shared" si="142"/>
        <v>0</v>
      </c>
      <c r="BC192" s="79">
        <f t="shared" si="141"/>
        <v>0</v>
      </c>
      <c r="BD192" s="79">
        <f t="shared" si="142"/>
        <v>0</v>
      </c>
      <c r="BE192" s="79">
        <f t="shared" si="143"/>
        <v>0</v>
      </c>
      <c r="BF192" s="79">
        <f t="shared" si="144"/>
        <v>0</v>
      </c>
      <c r="BG192" s="79">
        <f t="shared" si="145"/>
        <v>0</v>
      </c>
      <c r="BH192" s="79">
        <f t="shared" si="146"/>
        <v>0</v>
      </c>
      <c r="BI192" s="79">
        <f t="shared" si="147"/>
        <v>0</v>
      </c>
      <c r="BJ192" s="79">
        <f t="shared" si="148"/>
        <v>0</v>
      </c>
    </row>
    <row r="193" spans="1:62" x14ac:dyDescent="0.3">
      <c r="A193" s="12" t="str">
        <f>IF(ISBLANK($C193),"",MAX($A$95:$A192)+0.01)</f>
        <v/>
      </c>
      <c r="B193" s="51"/>
      <c r="C193" s="44"/>
      <c r="D193" s="44"/>
      <c r="E193" s="45"/>
      <c r="F193" s="44"/>
      <c r="G193" s="45"/>
      <c r="H193" s="46" t="str">
        <f t="shared" si="122"/>
        <v/>
      </c>
      <c r="I193" s="45"/>
      <c r="J193" s="46" t="str">
        <f t="shared" si="123"/>
        <v/>
      </c>
      <c r="K193" s="45"/>
      <c r="L193" s="46" t="str">
        <f t="shared" si="124"/>
        <v/>
      </c>
      <c r="M193" s="45"/>
      <c r="N193" s="46" t="str">
        <f t="shared" si="125"/>
        <v/>
      </c>
      <c r="O193" s="44"/>
      <c r="P193" s="45"/>
      <c r="Q193" s="46" t="str">
        <f t="shared" si="126"/>
        <v/>
      </c>
      <c r="R193" s="53" t="str">
        <f t="shared" si="127"/>
        <v/>
      </c>
      <c r="S193" s="43"/>
      <c r="T193" s="43"/>
      <c r="U193" s="43"/>
      <c r="W193" s="37">
        <v>0</v>
      </c>
      <c r="X193" s="37">
        <v>0</v>
      </c>
      <c r="Y193" s="37">
        <v>0</v>
      </c>
      <c r="Z193" s="37">
        <v>0</v>
      </c>
      <c r="AA193" s="37">
        <v>0</v>
      </c>
      <c r="AB193" s="38">
        <v>0</v>
      </c>
      <c r="AC193" s="38">
        <v>0</v>
      </c>
      <c r="AD193" s="38">
        <v>0</v>
      </c>
      <c r="AE193" s="38">
        <v>0</v>
      </c>
      <c r="AF193" s="38">
        <v>0</v>
      </c>
      <c r="AG193" s="36">
        <f t="shared" si="151"/>
        <v>0</v>
      </c>
      <c r="AH193" s="56"/>
      <c r="AI193" s="56"/>
      <c r="AJ193" s="56"/>
      <c r="AK193" s="56"/>
      <c r="AL193" s="56"/>
      <c r="AM193" s="79">
        <f t="shared" si="129"/>
        <v>0</v>
      </c>
      <c r="AN193" s="79">
        <f t="shared" si="130"/>
        <v>0</v>
      </c>
      <c r="AO193" s="79">
        <f t="shared" si="131"/>
        <v>0</v>
      </c>
      <c r="AP193" s="79">
        <f t="shared" si="132"/>
        <v>0</v>
      </c>
      <c r="AQ193" s="79">
        <f t="shared" si="131"/>
        <v>0</v>
      </c>
      <c r="AR193" s="79">
        <f t="shared" si="132"/>
        <v>0</v>
      </c>
      <c r="AS193" s="79">
        <f t="shared" si="133"/>
        <v>0</v>
      </c>
      <c r="AT193" s="79">
        <f t="shared" si="134"/>
        <v>0</v>
      </c>
      <c r="AU193" s="79">
        <f t="shared" si="135"/>
        <v>0</v>
      </c>
      <c r="AV193" s="79">
        <f t="shared" si="136"/>
        <v>0</v>
      </c>
      <c r="AW193" s="79">
        <f t="shared" si="137"/>
        <v>0</v>
      </c>
      <c r="AX193" s="79">
        <f t="shared" si="138"/>
        <v>0</v>
      </c>
      <c r="AY193" s="79">
        <f t="shared" si="139"/>
        <v>0</v>
      </c>
      <c r="AZ193" s="79">
        <f t="shared" si="140"/>
        <v>0</v>
      </c>
      <c r="BA193" s="79">
        <f t="shared" si="141"/>
        <v>0</v>
      </c>
      <c r="BB193" s="79">
        <f t="shared" si="142"/>
        <v>0</v>
      </c>
      <c r="BC193" s="79">
        <f t="shared" si="141"/>
        <v>0</v>
      </c>
      <c r="BD193" s="79">
        <f t="shared" si="142"/>
        <v>0</v>
      </c>
      <c r="BE193" s="79">
        <f t="shared" si="143"/>
        <v>0</v>
      </c>
      <c r="BF193" s="79">
        <f t="shared" si="144"/>
        <v>0</v>
      </c>
      <c r="BG193" s="79">
        <f t="shared" si="145"/>
        <v>0</v>
      </c>
      <c r="BH193" s="79">
        <f t="shared" si="146"/>
        <v>0</v>
      </c>
      <c r="BI193" s="79">
        <f t="shared" si="147"/>
        <v>0</v>
      </c>
      <c r="BJ193" s="79">
        <f t="shared" si="148"/>
        <v>0</v>
      </c>
    </row>
    <row r="194" spans="1:62" x14ac:dyDescent="0.3">
      <c r="A194" s="12" t="str">
        <f>IF(ISBLANK($C194),"",MAX($A$95:$A193)+0.01)</f>
        <v/>
      </c>
      <c r="B194" s="51"/>
      <c r="C194" s="44"/>
      <c r="D194" s="44"/>
      <c r="E194" s="45"/>
      <c r="F194" s="44"/>
      <c r="G194" s="45"/>
      <c r="H194" s="46" t="str">
        <f t="shared" si="122"/>
        <v/>
      </c>
      <c r="I194" s="45"/>
      <c r="J194" s="46" t="str">
        <f t="shared" si="123"/>
        <v/>
      </c>
      <c r="K194" s="45"/>
      <c r="L194" s="46" t="str">
        <f t="shared" si="124"/>
        <v/>
      </c>
      <c r="M194" s="45"/>
      <c r="N194" s="46" t="str">
        <f t="shared" si="125"/>
        <v/>
      </c>
      <c r="O194" s="44"/>
      <c r="P194" s="45"/>
      <c r="Q194" s="46" t="str">
        <f t="shared" si="126"/>
        <v/>
      </c>
      <c r="R194" s="53" t="str">
        <f t="shared" si="127"/>
        <v/>
      </c>
      <c r="S194" s="43"/>
      <c r="T194" s="43"/>
      <c r="U194" s="43"/>
      <c r="W194" s="37">
        <v>0</v>
      </c>
      <c r="X194" s="37">
        <v>0</v>
      </c>
      <c r="Y194" s="37">
        <v>0</v>
      </c>
      <c r="Z194" s="37">
        <v>0</v>
      </c>
      <c r="AA194" s="37">
        <v>0</v>
      </c>
      <c r="AB194" s="38">
        <v>0</v>
      </c>
      <c r="AC194" s="38">
        <v>0</v>
      </c>
      <c r="AD194" s="38">
        <v>0</v>
      </c>
      <c r="AE194" s="38">
        <v>0</v>
      </c>
      <c r="AF194" s="38">
        <v>0</v>
      </c>
      <c r="AG194" s="36">
        <f t="shared" si="151"/>
        <v>0</v>
      </c>
      <c r="AH194" s="56"/>
      <c r="AI194" s="56"/>
      <c r="AJ194" s="56"/>
      <c r="AK194" s="56"/>
      <c r="AL194" s="56"/>
      <c r="AM194" s="79">
        <f t="shared" si="129"/>
        <v>0</v>
      </c>
      <c r="AN194" s="79">
        <f t="shared" si="130"/>
        <v>0</v>
      </c>
      <c r="AO194" s="79">
        <f t="shared" si="131"/>
        <v>0</v>
      </c>
      <c r="AP194" s="79">
        <f t="shared" si="132"/>
        <v>0</v>
      </c>
      <c r="AQ194" s="79">
        <f t="shared" si="131"/>
        <v>0</v>
      </c>
      <c r="AR194" s="79">
        <f t="shared" si="132"/>
        <v>0</v>
      </c>
      <c r="AS194" s="79">
        <f t="shared" si="133"/>
        <v>0</v>
      </c>
      <c r="AT194" s="79">
        <f t="shared" si="134"/>
        <v>0</v>
      </c>
      <c r="AU194" s="79">
        <f t="shared" si="135"/>
        <v>0</v>
      </c>
      <c r="AV194" s="79">
        <f t="shared" si="136"/>
        <v>0</v>
      </c>
      <c r="AW194" s="79">
        <f t="shared" si="137"/>
        <v>0</v>
      </c>
      <c r="AX194" s="79">
        <f t="shared" si="138"/>
        <v>0</v>
      </c>
      <c r="AY194" s="79">
        <f t="shared" si="139"/>
        <v>0</v>
      </c>
      <c r="AZ194" s="79">
        <f t="shared" si="140"/>
        <v>0</v>
      </c>
      <c r="BA194" s="79">
        <f t="shared" si="141"/>
        <v>0</v>
      </c>
      <c r="BB194" s="79">
        <f t="shared" si="142"/>
        <v>0</v>
      </c>
      <c r="BC194" s="79">
        <f t="shared" si="141"/>
        <v>0</v>
      </c>
      <c r="BD194" s="79">
        <f t="shared" si="142"/>
        <v>0</v>
      </c>
      <c r="BE194" s="79">
        <f t="shared" si="143"/>
        <v>0</v>
      </c>
      <c r="BF194" s="79">
        <f t="shared" si="144"/>
        <v>0</v>
      </c>
      <c r="BG194" s="79">
        <f t="shared" si="145"/>
        <v>0</v>
      </c>
      <c r="BH194" s="79">
        <f t="shared" si="146"/>
        <v>0</v>
      </c>
      <c r="BI194" s="79">
        <f t="shared" si="147"/>
        <v>0</v>
      </c>
      <c r="BJ194" s="79">
        <f t="shared" si="148"/>
        <v>0</v>
      </c>
    </row>
    <row r="195" spans="1:62" x14ac:dyDescent="0.3">
      <c r="AH195" s="107" t="s">
        <v>419</v>
      </c>
      <c r="AI195" s="56"/>
      <c r="AJ195" s="56"/>
      <c r="AK195" s="56"/>
      <c r="AL195" s="56"/>
      <c r="AM195" s="105">
        <f t="shared" ref="AM195:BJ195" si="152">SUM(AM$104:AM$194)</f>
        <v>50</v>
      </c>
      <c r="AN195" s="105">
        <f t="shared" si="152"/>
        <v>352</v>
      </c>
      <c r="AO195" s="105">
        <f t="shared" si="152"/>
        <v>13</v>
      </c>
      <c r="AP195" s="105">
        <f t="shared" si="152"/>
        <v>96</v>
      </c>
      <c r="AQ195" s="105">
        <f t="shared" si="152"/>
        <v>4</v>
      </c>
      <c r="AR195" s="105">
        <f t="shared" si="152"/>
        <v>32</v>
      </c>
      <c r="AS195" s="105">
        <f t="shared" si="152"/>
        <v>48</v>
      </c>
      <c r="AT195" s="105">
        <f t="shared" si="152"/>
        <v>208</v>
      </c>
      <c r="AU195" s="105">
        <f t="shared" si="152"/>
        <v>22</v>
      </c>
      <c r="AV195" s="105">
        <f t="shared" si="152"/>
        <v>128</v>
      </c>
      <c r="AW195" s="105">
        <f t="shared" si="152"/>
        <v>11</v>
      </c>
      <c r="AX195" s="105">
        <f t="shared" si="152"/>
        <v>112</v>
      </c>
      <c r="AY195" s="105">
        <f t="shared" si="152"/>
        <v>59</v>
      </c>
      <c r="AZ195" s="105">
        <f t="shared" si="152"/>
        <v>320</v>
      </c>
      <c r="BA195" s="105">
        <f t="shared" si="152"/>
        <v>9</v>
      </c>
      <c r="BB195" s="105">
        <f t="shared" si="152"/>
        <v>80</v>
      </c>
      <c r="BC195" s="105">
        <f t="shared" si="152"/>
        <v>2</v>
      </c>
      <c r="BD195" s="105">
        <f t="shared" si="152"/>
        <v>32</v>
      </c>
      <c r="BE195" s="105">
        <f t="shared" si="152"/>
        <v>28</v>
      </c>
      <c r="BF195" s="105">
        <f t="shared" si="152"/>
        <v>160</v>
      </c>
      <c r="BG195" s="105">
        <f t="shared" si="152"/>
        <v>21</v>
      </c>
      <c r="BH195" s="105">
        <f t="shared" si="152"/>
        <v>96</v>
      </c>
      <c r="BI195" s="105">
        <f t="shared" si="152"/>
        <v>19</v>
      </c>
      <c r="BJ195" s="105">
        <f t="shared" si="152"/>
        <v>80</v>
      </c>
    </row>
    <row r="196" spans="1:62" x14ac:dyDescent="0.3">
      <c r="AH196" s="107" t="s">
        <v>420</v>
      </c>
      <c r="AI196" s="56"/>
      <c r="AJ196" s="56"/>
      <c r="AK196" s="56"/>
      <c r="AL196" s="56"/>
      <c r="AM196" s="105">
        <f>MAX(AM$104:AM$194)</f>
        <v>4</v>
      </c>
      <c r="AN196" s="105">
        <v>16</v>
      </c>
      <c r="AO196" s="105">
        <f>MAX(AO$104:AO$194)</f>
        <v>4</v>
      </c>
      <c r="AP196" s="105">
        <v>16</v>
      </c>
      <c r="AQ196" s="105">
        <f>MAX(AQ$104:AQ$194)</f>
        <v>2</v>
      </c>
      <c r="AR196" s="105">
        <v>16</v>
      </c>
      <c r="AS196" s="105">
        <f>MAX(AS$104:AS$194)</f>
        <v>9</v>
      </c>
      <c r="AT196" s="105">
        <v>16</v>
      </c>
      <c r="AU196" s="105">
        <f>MAX(AU$104:AU$194)</f>
        <v>6</v>
      </c>
      <c r="AV196" s="105">
        <v>16</v>
      </c>
      <c r="AW196" s="105">
        <f>MAX(AW$104:AW$194)</f>
        <v>3</v>
      </c>
      <c r="AX196" s="105">
        <v>16</v>
      </c>
      <c r="AY196" s="105">
        <f>MAX(AY$104:AY$194)</f>
        <v>6</v>
      </c>
      <c r="AZ196" s="105">
        <v>16</v>
      </c>
      <c r="BA196" s="105">
        <f>MAX(BA$104:BA$194)</f>
        <v>3</v>
      </c>
      <c r="BB196" s="105">
        <v>16</v>
      </c>
      <c r="BC196" s="105">
        <f>MAX(BC$104:BC$194)</f>
        <v>1</v>
      </c>
      <c r="BD196" s="105">
        <v>16</v>
      </c>
      <c r="BE196" s="105">
        <f>MAX(BE$104:BE$194)</f>
        <v>6</v>
      </c>
      <c r="BF196" s="105">
        <v>16</v>
      </c>
      <c r="BG196" s="105">
        <f>MAX(BG$104:BG$194)</f>
        <v>6</v>
      </c>
      <c r="BH196" s="105">
        <v>16</v>
      </c>
      <c r="BI196" s="105">
        <f>MAX(BI$104:BI$194)</f>
        <v>9</v>
      </c>
      <c r="BJ196" s="105">
        <v>16</v>
      </c>
    </row>
    <row r="197" spans="1:62" ht="39" customHeight="1" x14ac:dyDescent="0.3">
      <c r="B197" s="205" t="s">
        <v>438</v>
      </c>
      <c r="C197" s="205"/>
      <c r="D197" s="205"/>
      <c r="E197" s="205"/>
      <c r="F197" s="205"/>
      <c r="G197" s="205"/>
      <c r="H197" s="205"/>
      <c r="AH197" s="56"/>
      <c r="AI197" s="56"/>
      <c r="AJ197" s="56"/>
      <c r="AK197" s="56"/>
      <c r="AL197" s="56"/>
      <c r="AM197" s="105"/>
      <c r="AN197" s="56"/>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row>
    <row r="198" spans="1:62" x14ac:dyDescent="0.3">
      <c r="AH198" s="56"/>
      <c r="AI198" s="56"/>
      <c r="AJ198" s="56"/>
      <c r="AK198" s="56"/>
      <c r="AL198" s="56"/>
      <c r="AM198" s="105"/>
      <c r="AN198" s="56"/>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row>
    <row r="199" spans="1:62" x14ac:dyDescent="0.3">
      <c r="B199" s="7" t="s">
        <v>12</v>
      </c>
      <c r="C199" s="7"/>
      <c r="D199" s="18" t="s">
        <v>91</v>
      </c>
      <c r="E199" s="19" t="s">
        <v>92</v>
      </c>
      <c r="F199" s="22"/>
      <c r="G199" s="23"/>
      <c r="H199" s="23"/>
      <c r="I199" s="23"/>
      <c r="J199" s="23"/>
      <c r="K199" s="24"/>
      <c r="L199" s="23"/>
      <c r="M199" s="13"/>
      <c r="N199" s="13"/>
      <c r="O199" s="13"/>
      <c r="P199" s="13"/>
      <c r="Q199" s="13"/>
      <c r="R199" s="13"/>
      <c r="AH199" s="56"/>
      <c r="AI199" s="232" t="s">
        <v>391</v>
      </c>
      <c r="AJ199" s="232" t="s">
        <v>392</v>
      </c>
      <c r="AK199" s="232" t="s">
        <v>391</v>
      </c>
      <c r="AL199" s="232" t="s">
        <v>392</v>
      </c>
      <c r="AM199" s="232" t="s">
        <v>418</v>
      </c>
      <c r="AN199" s="232"/>
      <c r="AO199" s="232" t="s">
        <v>67</v>
      </c>
      <c r="AP199" s="232"/>
      <c r="AQ199" s="232" t="s">
        <v>13</v>
      </c>
      <c r="AR199" s="232"/>
      <c r="AS199" s="232" t="s">
        <v>19</v>
      </c>
      <c r="AT199" s="232"/>
      <c r="AU199" s="232" t="s">
        <v>68</v>
      </c>
      <c r="AV199" s="232"/>
      <c r="AW199" s="232" t="s">
        <v>66</v>
      </c>
      <c r="AX199" s="232"/>
      <c r="AY199" s="232" t="s">
        <v>418</v>
      </c>
      <c r="AZ199" s="232"/>
      <c r="BA199" s="232" t="s">
        <v>67</v>
      </c>
      <c r="BB199" s="232"/>
      <c r="BC199" s="232" t="s">
        <v>13</v>
      </c>
      <c r="BD199" s="232"/>
      <c r="BE199" s="232" t="s">
        <v>19</v>
      </c>
      <c r="BF199" s="232"/>
      <c r="BG199" s="232" t="s">
        <v>68</v>
      </c>
      <c r="BH199" s="232"/>
      <c r="BI199" s="232" t="s">
        <v>66</v>
      </c>
      <c r="BJ199" s="232"/>
    </row>
    <row r="200" spans="1:62" x14ac:dyDescent="0.3">
      <c r="B200" s="7"/>
      <c r="C200" s="7"/>
      <c r="D200" s="18" t="s">
        <v>43</v>
      </c>
      <c r="E200" s="19" t="s">
        <v>93</v>
      </c>
      <c r="F200" s="22"/>
      <c r="G200" s="23"/>
      <c r="H200" s="23"/>
      <c r="I200" s="23"/>
      <c r="J200" s="23"/>
      <c r="K200" s="24"/>
      <c r="L200" s="23"/>
      <c r="M200" s="13"/>
      <c r="N200" s="13"/>
      <c r="O200" s="13"/>
      <c r="P200" s="13"/>
      <c r="Q200" s="13"/>
      <c r="R200" s="13"/>
      <c r="AH200" s="56"/>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row>
    <row r="201" spans="1:62" x14ac:dyDescent="0.3">
      <c r="B201" s="7"/>
      <c r="C201" s="7"/>
      <c r="D201" s="18" t="s">
        <v>42</v>
      </c>
      <c r="E201" s="19">
        <v>2</v>
      </c>
      <c r="F201" s="22"/>
      <c r="G201" s="23"/>
      <c r="H201" s="23"/>
      <c r="I201" s="23"/>
      <c r="J201" s="23"/>
      <c r="K201" s="23"/>
      <c r="L201" s="13"/>
      <c r="M201" s="13"/>
      <c r="N201" s="13"/>
      <c r="O201" s="13"/>
      <c r="P201" s="13"/>
      <c r="Q201" s="13"/>
      <c r="R201" s="13"/>
      <c r="AH201" s="56"/>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32"/>
    </row>
    <row r="202" spans="1:62" x14ac:dyDescent="0.3">
      <c r="B202" s="7"/>
      <c r="C202" s="7"/>
      <c r="D202" s="18" t="s">
        <v>44</v>
      </c>
      <c r="E202" s="19">
        <v>3</v>
      </c>
      <c r="F202" s="22"/>
      <c r="G202" s="23"/>
      <c r="H202" s="23"/>
      <c r="I202" s="23"/>
      <c r="J202" s="23"/>
      <c r="K202" s="23"/>
      <c r="L202" s="13"/>
      <c r="M202" s="13"/>
      <c r="N202" s="13"/>
      <c r="O202" s="13"/>
      <c r="P202" s="13"/>
      <c r="Q202" s="13"/>
      <c r="R202" s="13"/>
      <c r="AH202" s="56"/>
      <c r="AI202" s="232"/>
      <c r="AJ202" s="232"/>
      <c r="AK202" s="232"/>
      <c r="AL202" s="232"/>
      <c r="AM202" s="232"/>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32"/>
    </row>
    <row r="203" spans="1:62" x14ac:dyDescent="0.3">
      <c r="B203" s="7"/>
      <c r="C203" s="7"/>
      <c r="D203" s="18" t="s">
        <v>45</v>
      </c>
      <c r="E203" s="19">
        <v>4</v>
      </c>
      <c r="F203" s="22"/>
      <c r="G203" s="23"/>
      <c r="H203" s="23"/>
      <c r="I203" s="23"/>
      <c r="J203" s="23"/>
      <c r="K203" s="23"/>
      <c r="L203" s="13"/>
      <c r="M203" s="13"/>
      <c r="N203" s="13"/>
      <c r="O203" s="13"/>
      <c r="P203" s="13"/>
      <c r="Q203" s="13"/>
      <c r="R203" s="13"/>
      <c r="AH203" s="56"/>
      <c r="AI203" s="232"/>
      <c r="AJ203" s="232"/>
      <c r="AK203" s="232"/>
      <c r="AL203" s="232"/>
      <c r="AM203" s="232"/>
      <c r="AN203" s="232"/>
      <c r="AO203" s="232"/>
      <c r="AP203" s="232"/>
      <c r="AQ203" s="232"/>
      <c r="AR203" s="232"/>
      <c r="AS203" s="232"/>
      <c r="AT203" s="232"/>
      <c r="AU203" s="232"/>
      <c r="AV203" s="232"/>
      <c r="AW203" s="232"/>
      <c r="AX203" s="232"/>
      <c r="AY203" s="232"/>
      <c r="AZ203" s="232"/>
      <c r="BA203" s="232"/>
      <c r="BB203" s="232"/>
      <c r="BC203" s="232"/>
      <c r="BD203" s="232"/>
      <c r="BE203" s="232"/>
      <c r="BF203" s="232"/>
      <c r="BG203" s="232"/>
      <c r="BH203" s="232"/>
      <c r="BI203" s="232"/>
      <c r="BJ203" s="232"/>
    </row>
    <row r="204" spans="1:62" x14ac:dyDescent="0.3">
      <c r="G204" s="23"/>
      <c r="H204" s="23"/>
      <c r="I204" s="23"/>
      <c r="J204" s="23"/>
      <c r="K204" s="23"/>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row>
    <row r="205" spans="1:62" x14ac:dyDescent="0.3">
      <c r="G205" s="23"/>
      <c r="H205" s="23"/>
      <c r="I205" s="23"/>
      <c r="J205" s="23"/>
      <c r="K205" s="23"/>
      <c r="AH205" s="56"/>
      <c r="AI205" s="56"/>
      <c r="AJ205" s="56"/>
      <c r="AK205" s="56"/>
      <c r="AL205" s="56"/>
      <c r="AM205" s="106">
        <f>AM$195/AN$195</f>
        <v>0.14204545454545456</v>
      </c>
      <c r="AN205" s="56"/>
      <c r="AO205" s="106">
        <f>AO$195/AP$195</f>
        <v>0.13541666666666666</v>
      </c>
      <c r="AP205" s="56"/>
      <c r="AQ205" s="106">
        <f>AQ$195/AR$195</f>
        <v>0.125</v>
      </c>
      <c r="AR205" s="56"/>
      <c r="AS205" s="106">
        <f>AS$195/AT$195</f>
        <v>0.23076923076923078</v>
      </c>
      <c r="AT205" s="56"/>
      <c r="AU205" s="106">
        <f>AU$195/AV$195</f>
        <v>0.171875</v>
      </c>
      <c r="AV205" s="56"/>
      <c r="AW205" s="106">
        <f>AW$195/AX$195</f>
        <v>9.8214285714285712E-2</v>
      </c>
      <c r="AX205" s="56"/>
      <c r="AY205" s="106">
        <f>AY$195/AZ$195</f>
        <v>0.18437500000000001</v>
      </c>
      <c r="AZ205" s="56"/>
      <c r="BA205" s="106">
        <f>BA$195/BB$195</f>
        <v>0.1125</v>
      </c>
      <c r="BB205" s="56"/>
      <c r="BC205" s="106">
        <f>BC$195/BD$195</f>
        <v>6.25E-2</v>
      </c>
      <c r="BD205" s="56"/>
      <c r="BE205" s="106">
        <f>BE$195/BF$195</f>
        <v>0.17499999999999999</v>
      </c>
      <c r="BF205" s="56"/>
      <c r="BG205" s="106">
        <f>BG$195/BH$195</f>
        <v>0.21875</v>
      </c>
      <c r="BH205" s="56"/>
      <c r="BI205" s="106">
        <f>BI$195/BJ$195</f>
        <v>0.23749999999999999</v>
      </c>
      <c r="BJ205" s="56"/>
    </row>
    <row r="206" spans="1:62" x14ac:dyDescent="0.3">
      <c r="B206" s="240" t="s">
        <v>1448</v>
      </c>
      <c r="C206" s="241"/>
      <c r="D206" s="18" t="s">
        <v>91</v>
      </c>
      <c r="E206" s="19" t="s">
        <v>92</v>
      </c>
      <c r="G206" s="23">
        <v>4</v>
      </c>
      <c r="H206" s="23">
        <f t="shared" ref="H206:K209" si="153">$G206*H$210</f>
        <v>4</v>
      </c>
      <c r="I206" s="23">
        <f t="shared" si="153"/>
        <v>8</v>
      </c>
      <c r="J206" s="23">
        <f t="shared" si="153"/>
        <v>12</v>
      </c>
      <c r="K206" s="23">
        <f t="shared" si="153"/>
        <v>16</v>
      </c>
      <c r="M206" s="24" t="s">
        <v>46</v>
      </c>
      <c r="N206" s="108">
        <v>6</v>
      </c>
      <c r="O206" s="23"/>
      <c r="P206" s="23"/>
      <c r="Q206" s="23"/>
      <c r="R206" s="23"/>
      <c r="AH206" s="56"/>
      <c r="AI206" s="56"/>
      <c r="AJ206" s="56"/>
      <c r="AK206" s="56"/>
      <c r="AL206" s="56"/>
      <c r="AM206" s="106">
        <f>AM$196/AN$196</f>
        <v>0.25</v>
      </c>
      <c r="AN206" s="56"/>
      <c r="AO206" s="106">
        <f>AO$196/AP$196</f>
        <v>0.25</v>
      </c>
      <c r="AP206" s="56"/>
      <c r="AQ206" s="106">
        <f>AQ$196/AR$196</f>
        <v>0.125</v>
      </c>
      <c r="AR206" s="56"/>
      <c r="AS206" s="106">
        <f>AS$196/AT$196</f>
        <v>0.5625</v>
      </c>
      <c r="AT206" s="56"/>
      <c r="AU206" s="106">
        <f>AU$196/AV$196</f>
        <v>0.375</v>
      </c>
      <c r="AV206" s="56"/>
      <c r="AW206" s="106">
        <f>AW$196/AX$196</f>
        <v>0.1875</v>
      </c>
      <c r="AX206" s="56"/>
      <c r="AY206" s="106">
        <f>AY$196/AZ$196</f>
        <v>0.375</v>
      </c>
      <c r="AZ206" s="56"/>
      <c r="BA206" s="106">
        <f>BA$196/BB$196</f>
        <v>0.1875</v>
      </c>
      <c r="BB206" s="56"/>
      <c r="BC206" s="106">
        <f>BC$196/BD$196</f>
        <v>6.25E-2</v>
      </c>
      <c r="BD206" s="56"/>
      <c r="BE206" s="106">
        <f>BE$196/BF$196</f>
        <v>0.375</v>
      </c>
      <c r="BF206" s="56"/>
      <c r="BG206" s="106">
        <f>BG$196/BH$196</f>
        <v>0.375</v>
      </c>
      <c r="BH206" s="56"/>
      <c r="BI206" s="106">
        <f>BI$196/BJ$196</f>
        <v>0.5625</v>
      </c>
      <c r="BJ206" s="56"/>
    </row>
    <row r="207" spans="1:62" x14ac:dyDescent="0.3">
      <c r="B207" s="39"/>
      <c r="C207" s="39"/>
      <c r="D207" s="18" t="s">
        <v>94</v>
      </c>
      <c r="E207" s="19" t="s">
        <v>93</v>
      </c>
      <c r="G207" s="23">
        <v>3</v>
      </c>
      <c r="H207" s="23">
        <f t="shared" si="153"/>
        <v>3</v>
      </c>
      <c r="I207" s="23">
        <f t="shared" si="153"/>
        <v>6</v>
      </c>
      <c r="J207" s="23">
        <f t="shared" si="153"/>
        <v>9</v>
      </c>
      <c r="K207" s="23">
        <f t="shared" si="153"/>
        <v>12</v>
      </c>
      <c r="M207" s="24"/>
      <c r="N207" s="23"/>
      <c r="O207" s="23"/>
      <c r="P207" s="23"/>
      <c r="Q207" s="23"/>
      <c r="R207" s="23"/>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row>
    <row r="208" spans="1:62" x14ac:dyDescent="0.3">
      <c r="D208" s="18" t="s">
        <v>95</v>
      </c>
      <c r="E208" s="19">
        <v>2</v>
      </c>
      <c r="F208" s="17"/>
      <c r="G208" s="23">
        <v>2</v>
      </c>
      <c r="H208" s="23">
        <f t="shared" si="153"/>
        <v>2</v>
      </c>
      <c r="I208" s="23">
        <f t="shared" si="153"/>
        <v>4</v>
      </c>
      <c r="J208" s="23">
        <f t="shared" si="153"/>
        <v>6</v>
      </c>
      <c r="K208" s="23">
        <f t="shared" si="153"/>
        <v>8</v>
      </c>
      <c r="L208" s="23"/>
      <c r="M208" s="13"/>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row>
    <row r="209" spans="2:60" x14ac:dyDescent="0.3">
      <c r="D209" s="18" t="s">
        <v>96</v>
      </c>
      <c r="E209" s="19">
        <v>3</v>
      </c>
      <c r="G209" s="23">
        <v>1</v>
      </c>
      <c r="H209" s="23">
        <f t="shared" si="153"/>
        <v>1</v>
      </c>
      <c r="I209" s="23">
        <f t="shared" si="153"/>
        <v>2</v>
      </c>
      <c r="J209" s="23">
        <f t="shared" si="153"/>
        <v>3</v>
      </c>
      <c r="K209" s="23">
        <f t="shared" si="153"/>
        <v>4</v>
      </c>
      <c r="L209" s="23"/>
      <c r="M209" s="13"/>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row>
    <row r="210" spans="2:60" x14ac:dyDescent="0.3">
      <c r="D210" s="18" t="s">
        <v>97</v>
      </c>
      <c r="E210" s="19">
        <v>4</v>
      </c>
      <c r="G210" s="23"/>
      <c r="H210" s="23">
        <v>1</v>
      </c>
      <c r="I210" s="23">
        <v>2</v>
      </c>
      <c r="J210" s="23">
        <v>3</v>
      </c>
      <c r="K210" s="23">
        <v>4</v>
      </c>
      <c r="L210" s="23"/>
      <c r="M210" s="13"/>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row>
    <row r="211" spans="2:60" x14ac:dyDescent="0.3">
      <c r="D211" s="16"/>
      <c r="L211" s="23"/>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row>
    <row r="212" spans="2:60" x14ac:dyDescent="0.3">
      <c r="D212" s="16"/>
      <c r="G212" s="13"/>
      <c r="H212" s="13"/>
      <c r="I212" s="13"/>
      <c r="J212" s="13"/>
      <c r="K212" s="13"/>
    </row>
    <row r="213" spans="2:60" x14ac:dyDescent="0.3">
      <c r="B213" s="240" t="s">
        <v>18</v>
      </c>
      <c r="C213" s="241"/>
      <c r="D213" s="18" t="s">
        <v>91</v>
      </c>
      <c r="E213" s="19" t="s">
        <v>92</v>
      </c>
      <c r="G213" s="23">
        <v>4</v>
      </c>
      <c r="H213" s="23">
        <f t="shared" ref="H213:K216" si="154">$G213*H$217</f>
        <v>4</v>
      </c>
      <c r="I213" s="23">
        <f t="shared" si="154"/>
        <v>8</v>
      </c>
      <c r="J213" s="23">
        <f t="shared" si="154"/>
        <v>12</v>
      </c>
      <c r="K213" s="23">
        <f t="shared" si="154"/>
        <v>16</v>
      </c>
      <c r="M213" s="24" t="s">
        <v>46</v>
      </c>
      <c r="N213" s="108">
        <v>7</v>
      </c>
      <c r="O213" s="23"/>
      <c r="P213" s="23"/>
      <c r="Q213" s="23"/>
      <c r="R213" s="23"/>
    </row>
    <row r="214" spans="2:60" x14ac:dyDescent="0.3">
      <c r="B214" s="39"/>
      <c r="C214" s="39"/>
      <c r="D214" s="18" t="s">
        <v>94</v>
      </c>
      <c r="E214" s="19" t="s">
        <v>93</v>
      </c>
      <c r="G214" s="23">
        <v>3</v>
      </c>
      <c r="H214" s="23">
        <f t="shared" si="154"/>
        <v>3</v>
      </c>
      <c r="I214" s="23">
        <f t="shared" si="154"/>
        <v>6</v>
      </c>
      <c r="J214" s="23">
        <f t="shared" si="154"/>
        <v>9</v>
      </c>
      <c r="K214" s="23">
        <f t="shared" si="154"/>
        <v>12</v>
      </c>
      <c r="M214" s="24"/>
      <c r="N214" s="23"/>
      <c r="O214" s="23"/>
      <c r="P214" s="23"/>
      <c r="Q214" s="23"/>
      <c r="R214" s="23"/>
    </row>
    <row r="215" spans="2:60" x14ac:dyDescent="0.3">
      <c r="D215" s="18" t="s">
        <v>95</v>
      </c>
      <c r="E215" s="19">
        <v>2</v>
      </c>
      <c r="G215" s="23">
        <v>2</v>
      </c>
      <c r="H215" s="23">
        <f t="shared" si="154"/>
        <v>2</v>
      </c>
      <c r="I215" s="23">
        <f t="shared" si="154"/>
        <v>4</v>
      </c>
      <c r="J215" s="23">
        <f t="shared" si="154"/>
        <v>6</v>
      </c>
      <c r="K215" s="23">
        <f t="shared" si="154"/>
        <v>8</v>
      </c>
      <c r="L215" s="23"/>
      <c r="M215" s="13"/>
    </row>
    <row r="216" spans="2:60" x14ac:dyDescent="0.3">
      <c r="D216" s="18" t="s">
        <v>96</v>
      </c>
      <c r="E216" s="19">
        <v>3</v>
      </c>
      <c r="G216" s="23">
        <v>1</v>
      </c>
      <c r="H216" s="23">
        <f t="shared" si="154"/>
        <v>1</v>
      </c>
      <c r="I216" s="23">
        <f t="shared" si="154"/>
        <v>2</v>
      </c>
      <c r="J216" s="23">
        <f t="shared" si="154"/>
        <v>3</v>
      </c>
      <c r="K216" s="23">
        <f t="shared" si="154"/>
        <v>4</v>
      </c>
      <c r="L216" s="23"/>
      <c r="M216" s="13"/>
    </row>
    <row r="217" spans="2:60" x14ac:dyDescent="0.3">
      <c r="D217" s="18" t="s">
        <v>97</v>
      </c>
      <c r="E217" s="19">
        <v>4</v>
      </c>
      <c r="G217" s="23"/>
      <c r="H217" s="23">
        <v>1</v>
      </c>
      <c r="I217" s="23">
        <v>2</v>
      </c>
      <c r="J217" s="23">
        <v>3</v>
      </c>
      <c r="K217" s="23">
        <v>4</v>
      </c>
      <c r="L217" s="23"/>
      <c r="M217" s="13"/>
    </row>
    <row r="220" spans="2:60" x14ac:dyDescent="0.3">
      <c r="B220" s="7" t="s">
        <v>47</v>
      </c>
      <c r="D220" s="18" t="s">
        <v>91</v>
      </c>
      <c r="E220" s="19" t="s">
        <v>92</v>
      </c>
      <c r="G220" s="23">
        <v>4</v>
      </c>
      <c r="H220" s="23">
        <f t="shared" ref="H220:K223" si="155">$G220*H$224</f>
        <v>4</v>
      </c>
      <c r="I220" s="23">
        <f t="shared" si="155"/>
        <v>8</v>
      </c>
      <c r="J220" s="23">
        <f t="shared" si="155"/>
        <v>12</v>
      </c>
      <c r="K220" s="23">
        <f t="shared" si="155"/>
        <v>16</v>
      </c>
      <c r="M220" s="24" t="s">
        <v>46</v>
      </c>
      <c r="N220" s="108">
        <v>6</v>
      </c>
      <c r="O220" s="23"/>
      <c r="P220" s="23"/>
      <c r="Q220" s="23"/>
      <c r="R220" s="23"/>
    </row>
    <row r="221" spans="2:60" x14ac:dyDescent="0.3">
      <c r="B221" s="7"/>
      <c r="D221" s="18" t="s">
        <v>94</v>
      </c>
      <c r="E221" s="19" t="s">
        <v>93</v>
      </c>
      <c r="G221" s="23">
        <v>3</v>
      </c>
      <c r="H221" s="23">
        <f t="shared" si="155"/>
        <v>3</v>
      </c>
      <c r="I221" s="23">
        <f t="shared" si="155"/>
        <v>6</v>
      </c>
      <c r="J221" s="23">
        <f t="shared" si="155"/>
        <v>9</v>
      </c>
      <c r="K221" s="23">
        <f t="shared" si="155"/>
        <v>12</v>
      </c>
      <c r="M221" s="24"/>
      <c r="N221" s="23"/>
      <c r="O221" s="23"/>
      <c r="P221" s="23"/>
      <c r="Q221" s="23"/>
      <c r="R221" s="23"/>
    </row>
    <row r="222" spans="2:60" x14ac:dyDescent="0.3">
      <c r="B222" s="7"/>
      <c r="D222" s="18" t="s">
        <v>95</v>
      </c>
      <c r="E222" s="19">
        <v>2</v>
      </c>
      <c r="G222" s="23">
        <v>2</v>
      </c>
      <c r="H222" s="23">
        <f t="shared" si="155"/>
        <v>2</v>
      </c>
      <c r="I222" s="23">
        <f t="shared" si="155"/>
        <v>4</v>
      </c>
      <c r="J222" s="23">
        <f t="shared" si="155"/>
        <v>6</v>
      </c>
      <c r="K222" s="23">
        <f t="shared" si="155"/>
        <v>8</v>
      </c>
      <c r="L222" s="23"/>
      <c r="M222" s="13"/>
    </row>
    <row r="223" spans="2:60" x14ac:dyDescent="0.3">
      <c r="B223" s="7"/>
      <c r="D223" s="18" t="s">
        <v>96</v>
      </c>
      <c r="E223" s="19">
        <v>3</v>
      </c>
      <c r="G223" s="23">
        <v>1</v>
      </c>
      <c r="H223" s="23">
        <f t="shared" si="155"/>
        <v>1</v>
      </c>
      <c r="I223" s="23">
        <f t="shared" si="155"/>
        <v>2</v>
      </c>
      <c r="J223" s="23">
        <f t="shared" si="155"/>
        <v>3</v>
      </c>
      <c r="K223" s="23">
        <f t="shared" si="155"/>
        <v>4</v>
      </c>
      <c r="L223" s="23"/>
      <c r="M223" s="13"/>
    </row>
    <row r="224" spans="2:60" x14ac:dyDescent="0.3">
      <c r="B224" s="7"/>
      <c r="D224" s="18" t="s">
        <v>97</v>
      </c>
      <c r="E224" s="19">
        <v>4</v>
      </c>
      <c r="G224" s="23"/>
      <c r="H224" s="23">
        <v>1</v>
      </c>
      <c r="I224" s="23">
        <v>2</v>
      </c>
      <c r="J224" s="23">
        <v>3</v>
      </c>
      <c r="K224" s="23">
        <v>4</v>
      </c>
      <c r="L224" s="23"/>
      <c r="M224" s="13"/>
    </row>
    <row r="225" spans="1:18" x14ac:dyDescent="0.3">
      <c r="B225" s="7"/>
      <c r="L225" s="23"/>
    </row>
    <row r="226" spans="1:18" x14ac:dyDescent="0.3">
      <c r="B226" s="7"/>
    </row>
    <row r="227" spans="1:18" x14ac:dyDescent="0.3">
      <c r="B227" s="7" t="s">
        <v>48</v>
      </c>
      <c r="D227" s="18" t="s">
        <v>91</v>
      </c>
      <c r="E227" s="19" t="s">
        <v>92</v>
      </c>
      <c r="G227" s="23">
        <v>4</v>
      </c>
      <c r="H227" s="23">
        <f t="shared" ref="H227:K230" si="156">$G227*H$231</f>
        <v>4</v>
      </c>
      <c r="I227" s="23">
        <f t="shared" si="156"/>
        <v>8</v>
      </c>
      <c r="J227" s="23">
        <f t="shared" si="156"/>
        <v>12</v>
      </c>
      <c r="K227" s="23">
        <f t="shared" si="156"/>
        <v>16</v>
      </c>
      <c r="M227" s="24" t="s">
        <v>46</v>
      </c>
      <c r="N227" s="108">
        <v>4</v>
      </c>
      <c r="O227" s="23"/>
      <c r="P227" s="23"/>
      <c r="Q227" s="23"/>
      <c r="R227" s="23"/>
    </row>
    <row r="228" spans="1:18" x14ac:dyDescent="0.3">
      <c r="B228" s="7"/>
      <c r="D228" s="18" t="s">
        <v>94</v>
      </c>
      <c r="E228" s="19" t="s">
        <v>93</v>
      </c>
      <c r="G228" s="23">
        <v>3</v>
      </c>
      <c r="H228" s="23">
        <f t="shared" si="156"/>
        <v>3</v>
      </c>
      <c r="I228" s="23">
        <f t="shared" si="156"/>
        <v>6</v>
      </c>
      <c r="J228" s="23">
        <f t="shared" si="156"/>
        <v>9</v>
      </c>
      <c r="K228" s="23">
        <f t="shared" si="156"/>
        <v>12</v>
      </c>
      <c r="L228" s="24"/>
      <c r="M228" s="23"/>
    </row>
    <row r="229" spans="1:18" x14ac:dyDescent="0.3">
      <c r="B229" s="7"/>
      <c r="D229" s="18" t="s">
        <v>95</v>
      </c>
      <c r="E229" s="19">
        <v>2</v>
      </c>
      <c r="G229" s="23">
        <v>2</v>
      </c>
      <c r="H229" s="23">
        <f t="shared" si="156"/>
        <v>2</v>
      </c>
      <c r="I229" s="23">
        <f t="shared" si="156"/>
        <v>4</v>
      </c>
      <c r="J229" s="23">
        <f t="shared" si="156"/>
        <v>6</v>
      </c>
      <c r="K229" s="23">
        <f t="shared" si="156"/>
        <v>8</v>
      </c>
      <c r="L229" s="23"/>
      <c r="M229" s="13"/>
    </row>
    <row r="230" spans="1:18" x14ac:dyDescent="0.3">
      <c r="B230" s="7"/>
      <c r="D230" s="18" t="s">
        <v>96</v>
      </c>
      <c r="E230" s="19">
        <v>3</v>
      </c>
      <c r="G230" s="23">
        <v>1</v>
      </c>
      <c r="H230" s="23">
        <f t="shared" si="156"/>
        <v>1</v>
      </c>
      <c r="I230" s="23">
        <f t="shared" si="156"/>
        <v>2</v>
      </c>
      <c r="J230" s="23">
        <f t="shared" si="156"/>
        <v>3</v>
      </c>
      <c r="K230" s="23">
        <f t="shared" si="156"/>
        <v>4</v>
      </c>
      <c r="L230" s="23"/>
      <c r="M230" s="13"/>
    </row>
    <row r="231" spans="1:18" x14ac:dyDescent="0.3">
      <c r="B231" s="7"/>
      <c r="D231" s="18" t="s">
        <v>97</v>
      </c>
      <c r="E231" s="19">
        <v>4</v>
      </c>
      <c r="G231" s="23"/>
      <c r="H231" s="23">
        <v>1</v>
      </c>
      <c r="I231" s="23">
        <v>2</v>
      </c>
      <c r="J231" s="23">
        <v>3</v>
      </c>
      <c r="K231" s="23">
        <v>4</v>
      </c>
      <c r="L231" s="23"/>
      <c r="M231" s="13"/>
    </row>
    <row r="232" spans="1:18" x14ac:dyDescent="0.3">
      <c r="B232" s="7"/>
      <c r="L232" s="23"/>
    </row>
    <row r="233" spans="1:18" x14ac:dyDescent="0.3">
      <c r="B233" s="7"/>
      <c r="L233" s="23"/>
    </row>
    <row r="234" spans="1:18" x14ac:dyDescent="0.3">
      <c r="B234" s="7" t="s">
        <v>104</v>
      </c>
      <c r="D234" s="18" t="s">
        <v>91</v>
      </c>
      <c r="E234" s="19" t="s">
        <v>92</v>
      </c>
      <c r="G234" s="23">
        <v>4</v>
      </c>
      <c r="H234" s="23">
        <f t="shared" ref="H234:K237" si="157">$G234*H$231</f>
        <v>4</v>
      </c>
      <c r="I234" s="23">
        <f t="shared" si="157"/>
        <v>8</v>
      </c>
      <c r="J234" s="23">
        <f t="shared" si="157"/>
        <v>12</v>
      </c>
      <c r="K234" s="23">
        <f t="shared" si="157"/>
        <v>16</v>
      </c>
      <c r="M234" s="24" t="s">
        <v>116</v>
      </c>
      <c r="N234" s="108">
        <v>5</v>
      </c>
      <c r="O234" s="55" t="s">
        <v>123</v>
      </c>
    </row>
    <row r="235" spans="1:18" x14ac:dyDescent="0.3">
      <c r="B235" s="7"/>
      <c r="D235" s="18" t="s">
        <v>94</v>
      </c>
      <c r="E235" s="19" t="s">
        <v>93</v>
      </c>
      <c r="G235" s="23">
        <v>3</v>
      </c>
      <c r="H235" s="23">
        <f t="shared" si="157"/>
        <v>3</v>
      </c>
      <c r="I235" s="23">
        <f t="shared" si="157"/>
        <v>6</v>
      </c>
      <c r="J235" s="23">
        <f t="shared" si="157"/>
        <v>9</v>
      </c>
      <c r="K235" s="23">
        <f t="shared" si="157"/>
        <v>12</v>
      </c>
      <c r="L235" s="24"/>
      <c r="M235" s="24" t="s">
        <v>115</v>
      </c>
      <c r="N235" s="108">
        <v>12</v>
      </c>
      <c r="O235" s="55" t="s">
        <v>123</v>
      </c>
    </row>
    <row r="236" spans="1:18" x14ac:dyDescent="0.3">
      <c r="B236" s="7"/>
      <c r="D236" s="18" t="s">
        <v>95</v>
      </c>
      <c r="E236" s="19">
        <v>2</v>
      </c>
      <c r="G236" s="23">
        <v>2</v>
      </c>
      <c r="H236" s="23">
        <f t="shared" si="157"/>
        <v>2</v>
      </c>
      <c r="I236" s="23">
        <f t="shared" si="157"/>
        <v>4</v>
      </c>
      <c r="J236" s="23">
        <f t="shared" si="157"/>
        <v>6</v>
      </c>
      <c r="K236" s="23">
        <f t="shared" si="157"/>
        <v>8</v>
      </c>
      <c r="L236" s="23"/>
      <c r="M236" s="13"/>
    </row>
    <row r="237" spans="1:18" x14ac:dyDescent="0.3">
      <c r="B237" s="7"/>
      <c r="D237" s="18" t="s">
        <v>96</v>
      </c>
      <c r="E237" s="19">
        <v>3</v>
      </c>
      <c r="G237" s="23">
        <v>1</v>
      </c>
      <c r="H237" s="23">
        <f t="shared" si="157"/>
        <v>1</v>
      </c>
      <c r="I237" s="23">
        <f t="shared" si="157"/>
        <v>2</v>
      </c>
      <c r="J237" s="23">
        <f t="shared" si="157"/>
        <v>3</v>
      </c>
      <c r="K237" s="23">
        <f t="shared" si="157"/>
        <v>4</v>
      </c>
      <c r="L237" s="23"/>
      <c r="M237" s="13"/>
    </row>
    <row r="238" spans="1:18" x14ac:dyDescent="0.3">
      <c r="B238" s="7"/>
      <c r="D238" s="18" t="s">
        <v>97</v>
      </c>
      <c r="E238" s="19">
        <v>4</v>
      </c>
      <c r="G238" s="23"/>
      <c r="H238" s="23">
        <v>1</v>
      </c>
      <c r="I238" s="23">
        <v>2</v>
      </c>
      <c r="J238" s="23">
        <v>3</v>
      </c>
      <c r="K238" s="23">
        <v>4</v>
      </c>
      <c r="L238" s="23"/>
      <c r="M238" s="13"/>
    </row>
    <row r="239" spans="1:18" x14ac:dyDescent="0.3">
      <c r="B239" s="7"/>
      <c r="C239" s="7"/>
      <c r="D239" s="7"/>
      <c r="E239" s="7"/>
      <c r="F239" s="7"/>
      <c r="G239" s="23"/>
      <c r="H239" s="23"/>
      <c r="I239" s="23"/>
      <c r="J239" s="23"/>
      <c r="K239" s="23"/>
      <c r="L239" s="23"/>
      <c r="M239" s="13"/>
    </row>
    <row r="240" spans="1:18" ht="15.6" x14ac:dyDescent="0.3">
      <c r="A240" s="3" t="s">
        <v>191</v>
      </c>
      <c r="B240" s="4" t="s">
        <v>20</v>
      </c>
      <c r="C240" s="4"/>
      <c r="D240" s="2"/>
      <c r="E240" s="2"/>
      <c r="F240" s="2"/>
      <c r="G240" s="2"/>
      <c r="H240" s="5"/>
    </row>
    <row r="241" spans="1:11" x14ac:dyDescent="0.3">
      <c r="A241" s="2"/>
      <c r="B241" s="2"/>
      <c r="C241" s="2"/>
      <c r="D241" s="2"/>
      <c r="E241" s="2"/>
      <c r="F241" s="2"/>
      <c r="G241" s="2"/>
      <c r="H241" s="2"/>
    </row>
    <row r="242" spans="1:11" ht="61.2" customHeight="1" x14ac:dyDescent="0.3">
      <c r="A242" s="2"/>
      <c r="B242" s="205" t="s">
        <v>1554</v>
      </c>
      <c r="C242" s="205"/>
      <c r="D242" s="205"/>
      <c r="E242" s="205"/>
      <c r="F242" s="205"/>
      <c r="G242" s="205"/>
      <c r="H242" s="205"/>
      <c r="I242" s="205"/>
      <c r="J242" s="205"/>
      <c r="K242" s="205"/>
    </row>
    <row r="243" spans="1:11" x14ac:dyDescent="0.3">
      <c r="A243" s="2"/>
      <c r="B243" s="2"/>
      <c r="C243" s="2"/>
      <c r="D243" s="2"/>
      <c r="E243" s="2"/>
      <c r="F243" s="2"/>
      <c r="G243" s="2"/>
      <c r="H243" s="2"/>
    </row>
    <row r="244" spans="1:11" ht="29.4" customHeight="1" x14ac:dyDescent="0.3">
      <c r="A244" s="12">
        <v>5.01</v>
      </c>
      <c r="B244" s="192" t="s">
        <v>32</v>
      </c>
      <c r="C244" s="193"/>
      <c r="D244" s="189" t="s">
        <v>624</v>
      </c>
      <c r="E244" s="190"/>
      <c r="F244" s="190"/>
      <c r="G244" s="190"/>
      <c r="H244" s="190"/>
      <c r="I244" s="190"/>
      <c r="J244" s="190"/>
      <c r="K244" s="191"/>
    </row>
    <row r="245" spans="1:11" ht="31.2" customHeight="1" x14ac:dyDescent="0.3">
      <c r="A245" s="12">
        <f>MAX($A$240:$A244)+0.01</f>
        <v>5.0199999999999996</v>
      </c>
      <c r="B245" s="192" t="s">
        <v>117</v>
      </c>
      <c r="C245" s="193"/>
      <c r="D245" s="189" t="s">
        <v>623</v>
      </c>
      <c r="E245" s="190"/>
      <c r="F245" s="190"/>
      <c r="G245" s="190"/>
      <c r="H245" s="190"/>
      <c r="I245" s="190"/>
      <c r="J245" s="190"/>
      <c r="K245" s="191"/>
    </row>
    <row r="246" spans="1:11" ht="31.95" customHeight="1" x14ac:dyDescent="0.3">
      <c r="A246" s="12">
        <f>MAX($A$240:$A245)+0.01</f>
        <v>5.0299999999999994</v>
      </c>
      <c r="B246" s="192" t="s">
        <v>118</v>
      </c>
      <c r="C246" s="193"/>
      <c r="D246" s="189"/>
      <c r="E246" s="190"/>
      <c r="F246" s="190"/>
      <c r="G246" s="190"/>
      <c r="H246" s="190"/>
      <c r="I246" s="190"/>
      <c r="J246" s="190"/>
      <c r="K246" s="191"/>
    </row>
    <row r="247" spans="1:11" ht="33.6" customHeight="1" x14ac:dyDescent="0.3">
      <c r="A247" s="12">
        <f>MAX($A$240:$A246)+0.01</f>
        <v>5.0399999999999991</v>
      </c>
      <c r="B247" s="192" t="s">
        <v>33</v>
      </c>
      <c r="C247" s="193"/>
      <c r="D247" s="189"/>
      <c r="E247" s="190"/>
      <c r="F247" s="190"/>
      <c r="G247" s="190"/>
      <c r="H247" s="190"/>
      <c r="I247" s="190"/>
      <c r="J247" s="190"/>
      <c r="K247" s="191"/>
    </row>
    <row r="248" spans="1:11" x14ac:dyDescent="0.3">
      <c r="A248" s="12"/>
      <c r="B248" s="2"/>
      <c r="C248" s="2"/>
      <c r="D248" s="2"/>
      <c r="E248" s="2"/>
      <c r="F248" s="2"/>
      <c r="G248" s="2"/>
      <c r="H248" s="2"/>
    </row>
    <row r="249" spans="1:11" x14ac:dyDescent="0.3">
      <c r="A249" s="12">
        <f>MAX($A$240:$A248)+0.01</f>
        <v>5.0499999999999989</v>
      </c>
      <c r="B249" s="192" t="s">
        <v>130</v>
      </c>
      <c r="C249" s="193"/>
      <c r="D249" s="2" t="str">
        <f>IF(LEFT($D$16,3)="Yes",IF(IFERROR(FIND("High",_xlfn.CONCAT($R$104:$R$194)),0)&gt;0,"Yes","No"),"Not applicable")</f>
        <v>No</v>
      </c>
      <c r="E249" s="2"/>
      <c r="F249" s="49" t="s">
        <v>364</v>
      </c>
      <c r="G249" s="2"/>
      <c r="H249" s="2"/>
    </row>
    <row r="250" spans="1:11" x14ac:dyDescent="0.3">
      <c r="A250" s="12"/>
      <c r="B250" s="2"/>
      <c r="C250" s="2"/>
      <c r="D250" s="2"/>
      <c r="E250" s="2"/>
      <c r="F250" s="2"/>
      <c r="G250" s="2"/>
      <c r="H250" s="2"/>
    </row>
    <row r="251" spans="1:11" x14ac:dyDescent="0.3">
      <c r="A251" s="12">
        <f>MAX($A$240:$A250)+0.01</f>
        <v>5.0599999999999987</v>
      </c>
      <c r="B251" s="192" t="s">
        <v>362</v>
      </c>
      <c r="C251" s="193"/>
      <c r="D251" s="9" t="s">
        <v>95</v>
      </c>
      <c r="E251" s="2"/>
      <c r="F251" s="49" t="s">
        <v>363</v>
      </c>
      <c r="G251" s="2"/>
      <c r="H251" s="2"/>
    </row>
    <row r="252" spans="1:11" x14ac:dyDescent="0.3">
      <c r="A252" s="12"/>
      <c r="B252" s="2"/>
      <c r="C252" s="2"/>
      <c r="D252" s="2"/>
      <c r="E252" s="2"/>
      <c r="F252" s="2"/>
      <c r="G252" s="2"/>
      <c r="H252" s="2"/>
    </row>
    <row r="253" spans="1:11" x14ac:dyDescent="0.3">
      <c r="A253" s="12">
        <f>MAX($A$240:$A252)+0.01</f>
        <v>5.0699999999999985</v>
      </c>
      <c r="B253" s="192" t="s">
        <v>35</v>
      </c>
      <c r="C253" s="193"/>
      <c r="D253" s="90" t="s">
        <v>194</v>
      </c>
      <c r="E253" s="2"/>
      <c r="F253" s="2"/>
      <c r="G253" s="2"/>
      <c r="H253" s="2"/>
    </row>
    <row r="254" spans="1:11" x14ac:dyDescent="0.3">
      <c r="A254" s="12">
        <f>MAX($A$240:$A253)+0.01</f>
        <v>5.0799999999999983</v>
      </c>
      <c r="B254" s="192" t="s">
        <v>34</v>
      </c>
      <c r="C254" s="193"/>
      <c r="D254" s="90" t="s">
        <v>202</v>
      </c>
      <c r="E254" s="2"/>
      <c r="F254" s="2"/>
      <c r="G254" s="2"/>
      <c r="H254" s="2"/>
    </row>
    <row r="255" spans="1:11" x14ac:dyDescent="0.3">
      <c r="A255" s="12"/>
      <c r="B255" s="40"/>
      <c r="C255" s="41"/>
      <c r="D255" s="2"/>
      <c r="E255" s="2"/>
      <c r="F255" s="2"/>
      <c r="G255" s="2"/>
      <c r="H255" s="2"/>
    </row>
    <row r="256" spans="1:11" ht="41.7" customHeight="1" x14ac:dyDescent="0.3">
      <c r="A256" s="12">
        <f>MAX($A$240:$A254)+0.01</f>
        <v>5.0899999999999981</v>
      </c>
      <c r="B256" s="192" t="s">
        <v>353</v>
      </c>
      <c r="C256" s="193"/>
      <c r="D256" s="189"/>
      <c r="E256" s="190"/>
      <c r="F256" s="190"/>
      <c r="G256" s="190"/>
      <c r="H256" s="190"/>
      <c r="I256" s="190"/>
      <c r="J256" s="190"/>
      <c r="K256" s="191"/>
    </row>
    <row r="257" spans="1:11" ht="45" customHeight="1" x14ac:dyDescent="0.3">
      <c r="A257" s="12">
        <f>MAX($A$240:$A256)+0.01</f>
        <v>5.0999999999999979</v>
      </c>
      <c r="B257" s="192" t="s">
        <v>129</v>
      </c>
      <c r="C257" s="193"/>
      <c r="D257" s="189" t="s">
        <v>622</v>
      </c>
      <c r="E257" s="190"/>
      <c r="F257" s="190"/>
      <c r="G257" s="190"/>
      <c r="H257" s="190"/>
      <c r="I257" s="190"/>
      <c r="J257" s="190"/>
      <c r="K257" s="191"/>
    </row>
    <row r="258" spans="1:11" x14ac:dyDescent="0.3">
      <c r="B258" s="7"/>
    </row>
    <row r="259" spans="1:11" x14ac:dyDescent="0.3">
      <c r="D259" s="20" t="str">
        <f>"Please repeat this risk assessment whenever there are material changes to the application or risk factors change, but at the latest by "&amp;IFERROR(TEXT(EDATE($F$9,$G$99*12),"[$-409]MMMM T, JJJJ"),"[please re-enter date in Cell F7]")&amp;"."</f>
        <v>Please repeat this risk assessment whenever there are material changes to the application or risk factors change, but at the latest by April 1, 2027.</v>
      </c>
    </row>
    <row r="260" spans="1:11" x14ac:dyDescent="0.3">
      <c r="B260" s="7"/>
    </row>
    <row r="262" spans="1:11" x14ac:dyDescent="0.3">
      <c r="B262" t="s">
        <v>752</v>
      </c>
    </row>
    <row r="264" spans="1:11" ht="30.6" customHeight="1" x14ac:dyDescent="0.3">
      <c r="A264" s="221" t="s">
        <v>441</v>
      </c>
      <c r="B264" s="221"/>
      <c r="C264" s="221"/>
      <c r="D264" s="221"/>
      <c r="E264" s="221"/>
      <c r="F264" s="221"/>
      <c r="G264" s="221"/>
      <c r="H264" s="221"/>
      <c r="I264" s="221"/>
    </row>
    <row r="265" spans="1:11" ht="47.4" customHeight="1" x14ac:dyDescent="0.3">
      <c r="A265" s="221" t="s">
        <v>435</v>
      </c>
      <c r="B265" s="221"/>
      <c r="C265" s="221"/>
      <c r="D265" s="221"/>
      <c r="E265" s="221"/>
      <c r="F265" s="221"/>
      <c r="G265" s="221"/>
      <c r="H265" s="221"/>
      <c r="I265" s="221"/>
    </row>
  </sheetData>
  <sheetProtection sheet="1" objects="1" scenarios="1" formatCells="0" formatColumns="0" formatRows="0" insertRows="0" deleteRows="0"/>
  <protectedRanges>
    <protectedRange sqref="B191:C194 I170:I194 K170:K194 M170:M194 S170:U194 D199:D203 D206:D210 D213:D217 D220:D224 D227:D231 D234:D238 N206 N213 N220 N227 N234:N235 D244:D247 D251 D253:D254 D256:D257 D170:G194 O170:P194" name="Bereich4"/>
    <protectedRange sqref="I143:I153 K143:K153 M143:M153 S149:U153 B165:C168 O143:P153 S143:S148 T130 I155:I168 K155:K168 M155:M168 S155:U168 D155:G168 O155:P168" name="Bereich3"/>
    <protectedRange sqref="B138:C141 D143:G153 B150:C153 S122:U129 T143:U148 S130 U130 O104:P120 S104:U120 I122:I141 K122:K141 M122:M141 D122:G141 O122:P141 S131:U141" name="Bereich2"/>
    <protectedRange sqref="D6:F8 D9 F9 D11 D13:D14 D22:H32 D39 D49:D50 D99 G99 L99 B57:H86 I104:I120 K104:K120 M104:M120 O104:P120 D104:G120 S104:U120 D36:H37" name="Bereich1"/>
    <protectedRange sqref="D33:D35" name="Bereich1_1"/>
  </protectedRanges>
  <mergeCells count="155">
    <mergeCell ref="A1:D1"/>
    <mergeCell ref="A2:E2"/>
    <mergeCell ref="D6:F6"/>
    <mergeCell ref="D7:F7"/>
    <mergeCell ref="D8:F8"/>
    <mergeCell ref="AI94:AI100"/>
    <mergeCell ref="AJ94:AJ100"/>
    <mergeCell ref="AK94:AK100"/>
    <mergeCell ref="AL94:AL100"/>
    <mergeCell ref="B24:C24"/>
    <mergeCell ref="D24:H24"/>
    <mergeCell ref="B25:C25"/>
    <mergeCell ref="D25:H25"/>
    <mergeCell ref="B26:C26"/>
    <mergeCell ref="D26:H26"/>
    <mergeCell ref="B27:C27"/>
    <mergeCell ref="D27:H27"/>
    <mergeCell ref="B28:C28"/>
    <mergeCell ref="D28:H28"/>
    <mergeCell ref="B30:C30"/>
    <mergeCell ref="D30:H30"/>
    <mergeCell ref="B31:C31"/>
    <mergeCell ref="D31:H31"/>
    <mergeCell ref="B32:C32"/>
    <mergeCell ref="D32:H32"/>
    <mergeCell ref="B36:C36"/>
    <mergeCell ref="D36:H36"/>
    <mergeCell ref="D11:F11"/>
    <mergeCell ref="B22:C22"/>
    <mergeCell ref="D22:H22"/>
    <mergeCell ref="B23:C23"/>
    <mergeCell ref="D23:H23"/>
    <mergeCell ref="D14:F14"/>
    <mergeCell ref="D13:F13"/>
    <mergeCell ref="B20:H20"/>
    <mergeCell ref="B29:C29"/>
    <mergeCell ref="B33:C33"/>
    <mergeCell ref="B34:C34"/>
    <mergeCell ref="B35:C35"/>
    <mergeCell ref="D33:H33"/>
    <mergeCell ref="D34:H34"/>
    <mergeCell ref="D35:H35"/>
    <mergeCell ref="B50:C50"/>
    <mergeCell ref="D50:H50"/>
    <mergeCell ref="AB102:AF102"/>
    <mergeCell ref="B103:U103"/>
    <mergeCell ref="B121:U121"/>
    <mergeCell ref="W102:AA102"/>
    <mergeCell ref="L99:U99"/>
    <mergeCell ref="B37:C37"/>
    <mergeCell ref="D37:H37"/>
    <mergeCell ref="D39:H39"/>
    <mergeCell ref="B49:C49"/>
    <mergeCell ref="D49:H49"/>
    <mergeCell ref="B54:H54"/>
    <mergeCell ref="B47:H47"/>
    <mergeCell ref="B97:H97"/>
    <mergeCell ref="B41:C41"/>
    <mergeCell ref="B42:C42"/>
    <mergeCell ref="B88:C91"/>
    <mergeCell ref="B39:C39"/>
    <mergeCell ref="B206:C206"/>
    <mergeCell ref="B213:C213"/>
    <mergeCell ref="B244:C244"/>
    <mergeCell ref="D244:K244"/>
    <mergeCell ref="B245:C245"/>
    <mergeCell ref="B254:C254"/>
    <mergeCell ref="B256:C256"/>
    <mergeCell ref="D256:K256"/>
    <mergeCell ref="B246:C246"/>
    <mergeCell ref="D246:K246"/>
    <mergeCell ref="B247:C247"/>
    <mergeCell ref="D247:K247"/>
    <mergeCell ref="B249:C249"/>
    <mergeCell ref="B253:C253"/>
    <mergeCell ref="B251:C251"/>
    <mergeCell ref="A265:I265"/>
    <mergeCell ref="B257:C257"/>
    <mergeCell ref="D257:K257"/>
    <mergeCell ref="D245:K245"/>
    <mergeCell ref="B169:U169"/>
    <mergeCell ref="B99:C99"/>
    <mergeCell ref="I101:J101"/>
    <mergeCell ref="K101:L101"/>
    <mergeCell ref="M101:N101"/>
    <mergeCell ref="D101:D102"/>
    <mergeCell ref="E101:E102"/>
    <mergeCell ref="F101:F102"/>
    <mergeCell ref="G101:H101"/>
    <mergeCell ref="B197:H197"/>
    <mergeCell ref="B242:K242"/>
    <mergeCell ref="B142:U142"/>
    <mergeCell ref="B154:U154"/>
    <mergeCell ref="O101:O102"/>
    <mergeCell ref="P101:Q101"/>
    <mergeCell ref="S101:S102"/>
    <mergeCell ref="T101:T102"/>
    <mergeCell ref="U101:U102"/>
    <mergeCell ref="C101:C102"/>
    <mergeCell ref="A264:I264"/>
    <mergeCell ref="AM93:AX93"/>
    <mergeCell ref="AT94:AT100"/>
    <mergeCell ref="AU94:AU100"/>
    <mergeCell ref="AV94:AV100"/>
    <mergeCell ref="AM94:AM100"/>
    <mergeCell ref="AN94:AN100"/>
    <mergeCell ref="AO94:AO100"/>
    <mergeCell ref="AP94:AP100"/>
    <mergeCell ref="AS94:AS100"/>
    <mergeCell ref="AX94:AX100"/>
    <mergeCell ref="AY93:BJ93"/>
    <mergeCell ref="AY94:AY100"/>
    <mergeCell ref="AZ94:AZ100"/>
    <mergeCell ref="BA94:BA100"/>
    <mergeCell ref="BB94:BB100"/>
    <mergeCell ref="BE94:BE100"/>
    <mergeCell ref="BF94:BF100"/>
    <mergeCell ref="BG94:BG100"/>
    <mergeCell ref="BH94:BH100"/>
    <mergeCell ref="BI94:BI100"/>
    <mergeCell ref="BJ94:BJ100"/>
    <mergeCell ref="AN199:AN203"/>
    <mergeCell ref="AO199:AO203"/>
    <mergeCell ref="AP199:AP203"/>
    <mergeCell ref="AS199:AS203"/>
    <mergeCell ref="AT199:AT203"/>
    <mergeCell ref="AI199:AI203"/>
    <mergeCell ref="AJ199:AJ203"/>
    <mergeCell ref="AK199:AK203"/>
    <mergeCell ref="AL199:AL203"/>
    <mergeCell ref="AM199:AM203"/>
    <mergeCell ref="A4:F4"/>
    <mergeCell ref="BG199:BG203"/>
    <mergeCell ref="BH199:BH203"/>
    <mergeCell ref="BI199:BI203"/>
    <mergeCell ref="BJ199:BJ203"/>
    <mergeCell ref="AQ94:AQ100"/>
    <mergeCell ref="AR94:AR100"/>
    <mergeCell ref="AQ199:AQ203"/>
    <mergeCell ref="AR199:AR203"/>
    <mergeCell ref="BC94:BC100"/>
    <mergeCell ref="BD94:BD100"/>
    <mergeCell ref="BC199:BC203"/>
    <mergeCell ref="BD199:BD203"/>
    <mergeCell ref="AZ199:AZ203"/>
    <mergeCell ref="BA199:BA203"/>
    <mergeCell ref="BB199:BB203"/>
    <mergeCell ref="BE199:BE203"/>
    <mergeCell ref="BF199:BF203"/>
    <mergeCell ref="AU199:AU203"/>
    <mergeCell ref="AV199:AV203"/>
    <mergeCell ref="AW199:AW203"/>
    <mergeCell ref="AX199:AX203"/>
    <mergeCell ref="AY199:AY203"/>
    <mergeCell ref="AW94:AW100"/>
  </mergeCells>
  <conditionalFormatting sqref="D249">
    <cfRule type="cellIs" dxfId="95" priority="65" operator="equal">
      <formula>"No"</formula>
    </cfRule>
    <cfRule type="cellIs" dxfId="94" priority="64" operator="equal">
      <formula>"Yes"</formula>
    </cfRule>
  </conditionalFormatting>
  <conditionalFormatting sqref="D251">
    <cfRule type="cellIs" dxfId="93" priority="16" operator="equal">
      <formula>"High"</formula>
    </cfRule>
    <cfRule type="cellIs" dxfId="92" priority="15" operator="equal">
      <formula>"Very high"</formula>
    </cfRule>
    <cfRule type="cellIs" dxfId="91" priority="17" operator="equal">
      <formula>"Medium"</formula>
    </cfRule>
    <cfRule type="cellIs" dxfId="90" priority="18" operator="equal">
      <formula>"Low"</formula>
    </cfRule>
  </conditionalFormatting>
  <conditionalFormatting sqref="D253:D254">
    <cfRule type="cellIs" dxfId="89" priority="82" operator="equal">
      <formula>"No"</formula>
    </cfRule>
    <cfRule type="cellIs" dxfId="88" priority="81" operator="equal">
      <formula>"Yes"</formula>
    </cfRule>
  </conditionalFormatting>
  <conditionalFormatting sqref="E57:E86 E88">
    <cfRule type="cellIs" dxfId="87" priority="58" operator="equal">
      <formula>$E$88</formula>
    </cfRule>
  </conditionalFormatting>
  <conditionalFormatting sqref="E57:E86 E89">
    <cfRule type="cellIs" dxfId="86" priority="40" operator="equal">
      <formula>$E$89</formula>
    </cfRule>
  </conditionalFormatting>
  <conditionalFormatting sqref="E57:E86 E90">
    <cfRule type="cellIs" dxfId="85" priority="57" operator="equal">
      <formula>$E$90</formula>
    </cfRule>
  </conditionalFormatting>
  <conditionalFormatting sqref="E57:E86 E91">
    <cfRule type="cellIs" dxfId="84" priority="56" operator="equal">
      <formula>$E$91</formula>
    </cfRule>
  </conditionalFormatting>
  <conditionalFormatting sqref="E57:E86 E92">
    <cfRule type="cellIs" dxfId="83" priority="55" operator="equal">
      <formula>$E$92</formula>
    </cfRule>
  </conditionalFormatting>
  <conditionalFormatting sqref="H104:H120 H122:H141">
    <cfRule type="colorScale" priority="75">
      <colorScale>
        <cfvo type="num" val="$H$209"/>
        <cfvo type="num" val="$N$206"/>
        <cfvo type="num" val="16"/>
        <color rgb="FF63BE7B"/>
        <color rgb="FFFFEB84"/>
        <color rgb="FFF8696B"/>
      </colorScale>
    </cfRule>
  </conditionalFormatting>
  <conditionalFormatting sqref="H123:H141">
    <cfRule type="colorScale" priority="70">
      <colorScale>
        <cfvo type="num" val="$H$209"/>
        <cfvo type="num" val="$N$206"/>
        <cfvo type="num" val="16"/>
        <color rgb="FF63BE7B"/>
        <color rgb="FFFFEB84"/>
        <color rgb="FFF8696B"/>
      </colorScale>
    </cfRule>
  </conditionalFormatting>
  <conditionalFormatting sqref="H143:H145 H177:H194 H155:H168">
    <cfRule type="colorScale" priority="67">
      <colorScale>
        <cfvo type="num" val="$H$209"/>
        <cfvo type="num" val="$N$206"/>
        <cfvo type="num" val="16"/>
        <color rgb="FF63BE7B"/>
        <color rgb="FFFFEB84"/>
        <color rgb="FFF8696B"/>
      </colorScale>
    </cfRule>
    <cfRule type="colorScale" priority="66">
      <colorScale>
        <cfvo type="num" val="$H$209"/>
        <cfvo type="num" val="$N$206"/>
        <cfvo type="num" val="16"/>
        <color rgb="FF63BE7B"/>
        <color rgb="FFFFEB84"/>
        <color rgb="FFF8696B"/>
      </colorScale>
    </cfRule>
  </conditionalFormatting>
  <conditionalFormatting sqref="H146:H153">
    <cfRule type="colorScale" priority="69">
      <colorScale>
        <cfvo type="num" val="$H$209"/>
        <cfvo type="num" val="$N$206"/>
        <cfvo type="num" val="16"/>
        <color rgb="FF63BE7B"/>
        <color rgb="FFFFEB84"/>
        <color rgb="FFF8696B"/>
      </colorScale>
    </cfRule>
    <cfRule type="colorScale" priority="68">
      <colorScale>
        <cfvo type="num" val="$H$209"/>
        <cfvo type="num" val="$N$206"/>
        <cfvo type="num" val="16"/>
        <color rgb="FF63BE7B"/>
        <color rgb="FFFFEB84"/>
        <color rgb="FFF8696B"/>
      </colorScale>
    </cfRule>
  </conditionalFormatting>
  <conditionalFormatting sqref="H170:H172">
    <cfRule type="colorScale" priority="48">
      <colorScale>
        <cfvo type="num" val="$H$209"/>
        <cfvo type="num" val="$N$206"/>
        <cfvo type="num" val="16"/>
        <color rgb="FF63BE7B"/>
        <color rgb="FFFFEB84"/>
        <color rgb="FFF8696B"/>
      </colorScale>
    </cfRule>
  </conditionalFormatting>
  <conditionalFormatting sqref="H170:H194 J170:J194 L170:L194 N170:N194">
    <cfRule type="cellIs" dxfId="82" priority="41" operator="equal">
      <formula>0</formula>
    </cfRule>
  </conditionalFormatting>
  <conditionalFormatting sqref="H173:H176">
    <cfRule type="colorScale" priority="43">
      <colorScale>
        <cfvo type="num" val="$H$209"/>
        <cfvo type="num" val="$N$206"/>
        <cfvo type="num" val="16"/>
        <color rgb="FF63BE7B"/>
        <color rgb="FFFFEB84"/>
        <color rgb="FFF8696B"/>
      </colorScale>
    </cfRule>
  </conditionalFormatting>
  <conditionalFormatting sqref="H206:K209">
    <cfRule type="colorScale" priority="83">
      <colorScale>
        <cfvo type="num" val="$H$209"/>
        <cfvo type="num" val="$N$206"/>
        <cfvo type="num" val="16"/>
        <color rgb="FF63BE7B"/>
        <color rgb="FFFFEB84"/>
        <color rgb="FFF8696B"/>
      </colorScale>
    </cfRule>
  </conditionalFormatting>
  <conditionalFormatting sqref="H213:K216 J143:J153 J177:J194 J104:J120 J155:J168">
    <cfRule type="colorScale" priority="84">
      <colorScale>
        <cfvo type="num" val="$H$216"/>
        <cfvo type="num" val="$N$213"/>
        <cfvo type="num" val="16"/>
        <color rgb="FF63BE7B"/>
        <color rgb="FFFFEB84"/>
        <color rgb="FFF8696B"/>
      </colorScale>
    </cfRule>
  </conditionalFormatting>
  <conditionalFormatting sqref="H220:K223 L143:L153 L177:L194 L104:L120 L155:L168">
    <cfRule type="colorScale" priority="86">
      <colorScale>
        <cfvo type="num" val="$H$223"/>
        <cfvo type="num" val="$N$220"/>
        <cfvo type="num" val="16"/>
        <color rgb="FF63BE7B"/>
        <color rgb="FFFFEB84"/>
        <color rgb="FFF8696B"/>
      </colorScale>
    </cfRule>
  </conditionalFormatting>
  <conditionalFormatting sqref="H227:K230 N143:N153 N177:N194 N104:N120 N155:N168">
    <cfRule type="colorScale" priority="85">
      <colorScale>
        <cfvo type="num" val="$H$230"/>
        <cfvo type="num" val="$N$227"/>
        <cfvo type="num" val="16"/>
        <color rgb="FF63BE7B"/>
        <color rgb="FFFFEB84"/>
        <color rgb="FFF8696B"/>
      </colorScale>
    </cfRule>
  </conditionalFormatting>
  <conditionalFormatting sqref="H234:K237 Q146:Q153 Q177:Q194 R170:R194 Q104:R120 R122:R141 Q155:R168">
    <cfRule type="colorScale" priority="79">
      <colorScale>
        <cfvo type="num" val="$H$237"/>
        <cfvo type="num" val="$N$234"/>
        <cfvo type="num" val="16"/>
        <color rgb="FF63BE7B"/>
        <color rgb="FFFFEB84"/>
        <color rgb="FFF8696B"/>
      </colorScale>
    </cfRule>
  </conditionalFormatting>
  <conditionalFormatting sqref="J122">
    <cfRule type="colorScale" priority="76">
      <colorScale>
        <cfvo type="num" val="$H$216"/>
        <cfvo type="num" val="$N$213"/>
        <cfvo type="num" val="16"/>
        <color rgb="FF63BE7B"/>
        <color rgb="FFFFEB84"/>
        <color rgb="FFF8696B"/>
      </colorScale>
    </cfRule>
  </conditionalFormatting>
  <conditionalFormatting sqref="J123:J141">
    <cfRule type="colorScale" priority="71">
      <colorScale>
        <cfvo type="num" val="$H$216"/>
        <cfvo type="num" val="$N$213"/>
        <cfvo type="num" val="16"/>
        <color rgb="FF63BE7B"/>
        <color rgb="FFFFEB84"/>
        <color rgb="FFF8696B"/>
      </colorScale>
    </cfRule>
  </conditionalFormatting>
  <conditionalFormatting sqref="J170:J172">
    <cfRule type="colorScale" priority="50">
      <colorScale>
        <cfvo type="num" val="$H$216"/>
        <cfvo type="num" val="$N$213"/>
        <cfvo type="num" val="16"/>
        <color rgb="FF63BE7B"/>
        <color rgb="FFFFEB84"/>
        <color rgb="FFF8696B"/>
      </colorScale>
    </cfRule>
  </conditionalFormatting>
  <conditionalFormatting sqref="J173:J176">
    <cfRule type="colorScale" priority="45">
      <colorScale>
        <cfvo type="num" val="$H$216"/>
        <cfvo type="num" val="$N$213"/>
        <cfvo type="num" val="16"/>
        <color rgb="FF63BE7B"/>
        <color rgb="FFFFEB84"/>
        <color rgb="FFF8696B"/>
      </colorScale>
    </cfRule>
  </conditionalFormatting>
  <conditionalFormatting sqref="L122">
    <cfRule type="colorScale" priority="78">
      <colorScale>
        <cfvo type="num" val="$H$223"/>
        <cfvo type="num" val="$N$220"/>
        <cfvo type="num" val="16"/>
        <color rgb="FF63BE7B"/>
        <color rgb="FFFFEB84"/>
        <color rgb="FFF8696B"/>
      </colorScale>
    </cfRule>
  </conditionalFormatting>
  <conditionalFormatting sqref="L123:L141">
    <cfRule type="colorScale" priority="73">
      <colorScale>
        <cfvo type="num" val="$H$223"/>
        <cfvo type="num" val="$N$220"/>
        <cfvo type="num" val="16"/>
        <color rgb="FF63BE7B"/>
        <color rgb="FFFFEB84"/>
        <color rgb="FFF8696B"/>
      </colorScale>
    </cfRule>
  </conditionalFormatting>
  <conditionalFormatting sqref="L170:L172">
    <cfRule type="colorScale" priority="52">
      <colorScale>
        <cfvo type="num" val="$H$223"/>
        <cfvo type="num" val="$N$220"/>
        <cfvo type="num" val="16"/>
        <color rgb="FF63BE7B"/>
        <color rgb="FFFFEB84"/>
        <color rgb="FFF8696B"/>
      </colorScale>
    </cfRule>
  </conditionalFormatting>
  <conditionalFormatting sqref="L173:L176">
    <cfRule type="colorScale" priority="47">
      <colorScale>
        <cfvo type="num" val="$H$223"/>
        <cfvo type="num" val="$N$220"/>
        <cfvo type="num" val="16"/>
        <color rgb="FF63BE7B"/>
        <color rgb="FFFFEB84"/>
        <color rgb="FFF8696B"/>
      </colorScale>
    </cfRule>
  </conditionalFormatting>
  <conditionalFormatting sqref="N122:N141">
    <cfRule type="colorScale" priority="77">
      <colorScale>
        <cfvo type="num" val="$H$230"/>
        <cfvo type="num" val="$N$227"/>
        <cfvo type="num" val="16"/>
        <color rgb="FF63BE7B"/>
        <color rgb="FFFFEB84"/>
        <color rgb="FFF8696B"/>
      </colorScale>
    </cfRule>
  </conditionalFormatting>
  <conditionalFormatting sqref="N123:N141">
    <cfRule type="colorScale" priority="72">
      <colorScale>
        <cfvo type="num" val="$H$230"/>
        <cfvo type="num" val="$N$227"/>
        <cfvo type="num" val="16"/>
        <color rgb="FF63BE7B"/>
        <color rgb="FFFFEB84"/>
        <color rgb="FFF8696B"/>
      </colorScale>
    </cfRule>
  </conditionalFormatting>
  <conditionalFormatting sqref="N170:N172">
    <cfRule type="colorScale" priority="51">
      <colorScale>
        <cfvo type="num" val="$H$230"/>
        <cfvo type="num" val="$N$227"/>
        <cfvo type="num" val="16"/>
        <color rgb="FF63BE7B"/>
        <color rgb="FFFFEB84"/>
        <color rgb="FFF8696B"/>
      </colorScale>
    </cfRule>
  </conditionalFormatting>
  <conditionalFormatting sqref="N173:N176">
    <cfRule type="colorScale" priority="46">
      <colorScale>
        <cfvo type="num" val="$H$230"/>
        <cfvo type="num" val="$N$227"/>
        <cfvo type="num" val="16"/>
        <color rgb="FF63BE7B"/>
        <color rgb="FFFFEB84"/>
        <color rgb="FFF8696B"/>
      </colorScale>
    </cfRule>
  </conditionalFormatting>
  <conditionalFormatting sqref="Q122:Q141">
    <cfRule type="colorScale" priority="74">
      <colorScale>
        <cfvo type="num" val="$H$237"/>
        <cfvo type="num" val="$N$234"/>
        <cfvo type="num" val="16"/>
        <color rgb="FF63BE7B"/>
        <color rgb="FFFFEB84"/>
        <color rgb="FFF8696B"/>
      </colorScale>
    </cfRule>
  </conditionalFormatting>
  <conditionalFormatting sqref="Q143">
    <cfRule type="colorScale" priority="61">
      <colorScale>
        <cfvo type="num" val="$H$237"/>
        <cfvo type="num" val="$N$234"/>
        <cfvo type="num" val="16"/>
        <color rgb="FF63BE7B"/>
        <color rgb="FFFFEB84"/>
        <color rgb="FFF8696B"/>
      </colorScale>
    </cfRule>
  </conditionalFormatting>
  <conditionalFormatting sqref="Q144:Q145">
    <cfRule type="colorScale" priority="62">
      <colorScale>
        <cfvo type="num" val="$H$237"/>
        <cfvo type="num" val="$N$234"/>
        <cfvo type="num" val="16"/>
        <color rgb="FF63BE7B"/>
        <color rgb="FFFFEB84"/>
        <color rgb="FFF8696B"/>
      </colorScale>
    </cfRule>
  </conditionalFormatting>
  <conditionalFormatting sqref="Q170:Q172">
    <cfRule type="colorScale" priority="49">
      <colorScale>
        <cfvo type="num" val="$H$237"/>
        <cfvo type="num" val="$N$234"/>
        <cfvo type="num" val="16"/>
        <color rgb="FF63BE7B"/>
        <color rgb="FFFFEB84"/>
        <color rgb="FFF8696B"/>
      </colorScale>
    </cfRule>
  </conditionalFormatting>
  <conditionalFormatting sqref="Q173:Q176">
    <cfRule type="colorScale" priority="44">
      <colorScale>
        <cfvo type="num" val="$H$237"/>
        <cfvo type="num" val="$N$234"/>
        <cfvo type="num" val="16"/>
        <color rgb="FF63BE7B"/>
        <color rgb="FFFFEB84"/>
        <color rgb="FFF8696B"/>
      </colorScale>
    </cfRule>
  </conditionalFormatting>
  <conditionalFormatting sqref="Q122:R141 H122:H141 J122:J141 L122:L141 N122:N141">
    <cfRule type="cellIs" dxfId="81" priority="54" operator="equal">
      <formula>0</formula>
    </cfRule>
  </conditionalFormatting>
  <conditionalFormatting sqref="Q143:R153 Q155:R168 H104:H120 J104:J120 L104:L120 N104:N120 Q104:R120 H143:H153 J143:J153 L143:L153 N143:N153 H155:H168 J155:J168 L155:L168 N155:N168">
    <cfRule type="cellIs" dxfId="80" priority="53" operator="equal">
      <formula>0</formula>
    </cfRule>
  </conditionalFormatting>
  <conditionalFormatting sqref="Q170:R194">
    <cfRule type="cellIs" dxfId="79" priority="8" operator="equal">
      <formula>0</formula>
    </cfRule>
  </conditionalFormatting>
  <conditionalFormatting sqref="R104:R120">
    <cfRule type="cellIs" dxfId="78" priority="63" operator="equal">
      <formula>"High"</formula>
    </cfRule>
  </conditionalFormatting>
  <conditionalFormatting sqref="R122:R141 R143:R153 R155:R168">
    <cfRule type="cellIs" dxfId="77" priority="59" operator="equal">
      <formula>"High"</formula>
    </cfRule>
  </conditionalFormatting>
  <conditionalFormatting sqref="R122:R141">
    <cfRule type="cellIs" dxfId="76" priority="14" operator="equal">
      <formula>"High"</formula>
    </cfRule>
    <cfRule type="cellIs" dxfId="75" priority="13" operator="equal">
      <formula>0</formula>
    </cfRule>
    <cfRule type="cellIs" dxfId="74" priority="7" operator="equal">
      <formula>"High"</formula>
    </cfRule>
    <cfRule type="cellIs" dxfId="73" priority="6" operator="equal">
      <formula>0</formula>
    </cfRule>
  </conditionalFormatting>
  <conditionalFormatting sqref="R143:R153">
    <cfRule type="cellIs" dxfId="72" priority="4" operator="equal">
      <formula>"High"</formula>
    </cfRule>
    <cfRule type="colorScale" priority="60">
      <colorScale>
        <cfvo type="num" val="$H$237"/>
        <cfvo type="num" val="$N$234"/>
        <cfvo type="num" val="16"/>
        <color rgb="FF63BE7B"/>
        <color rgb="FFFFEB84"/>
        <color rgb="FFF8696B"/>
      </colorScale>
    </cfRule>
    <cfRule type="colorScale" priority="12">
      <colorScale>
        <cfvo type="num" val="$H$237"/>
        <cfvo type="num" val="$N$234"/>
        <cfvo type="num" val="16"/>
        <color rgb="FF63BE7B"/>
        <color rgb="FFFFEB84"/>
        <color rgb="FFF8696B"/>
      </colorScale>
    </cfRule>
    <cfRule type="cellIs" dxfId="71" priority="11" operator="equal">
      <formula>"High"</formula>
    </cfRule>
    <cfRule type="colorScale" priority="5">
      <colorScale>
        <cfvo type="num" val="$H$237"/>
        <cfvo type="num" val="$N$234"/>
        <cfvo type="num" val="16"/>
        <color rgb="FF63BE7B"/>
        <color rgb="FFFFEB84"/>
        <color rgb="FFF8696B"/>
      </colorScale>
    </cfRule>
  </conditionalFormatting>
  <conditionalFormatting sqref="R155:R168">
    <cfRule type="cellIs" dxfId="70" priority="3" operator="equal">
      <formula>"High"</formula>
    </cfRule>
  </conditionalFormatting>
  <conditionalFormatting sqref="R170:R194">
    <cfRule type="cellIs" dxfId="69" priority="1" operator="equal">
      <formula>0</formula>
    </cfRule>
    <cfRule type="cellIs" dxfId="68" priority="9" operator="equal">
      <formula>"High"</formula>
    </cfRule>
    <cfRule type="cellIs" dxfId="67" priority="2" operator="equal">
      <formula>"High"</formula>
    </cfRule>
  </conditionalFormatting>
  <dataValidations count="12">
    <dataValidation type="list" allowBlank="1" showInputMessage="1" showErrorMessage="1" sqref="E57:E86" xr:uid="{00000000-0002-0000-0200-000000000000}">
      <formula1>$E$87:$E$93</formula1>
    </dataValidation>
    <dataValidation type="list" allowBlank="1" showInputMessage="1" showErrorMessage="1" sqref="D16" xr:uid="{00000000-0002-0000-0200-000001000000}">
      <mc:AlternateContent xmlns:x12ac="http://schemas.microsoft.com/office/spreadsheetml/2011/1/ac" xmlns:mc="http://schemas.openxmlformats.org/markup-compatibility/2006">
        <mc:Choice Requires="x12ac">
          <x12ac:list>(select),"Yes, included in this assessment","No, not included or done separately"</x12ac:list>
        </mc:Choice>
        <mc:Fallback>
          <formula1>"(select),Yes, included in this assessment,No, not included or done separately"</formula1>
        </mc:Fallback>
      </mc:AlternateContent>
    </dataValidation>
    <dataValidation type="list" allowBlank="1" showInputMessage="1" showErrorMessage="1" sqref="D99" xr:uid="{00000000-0002-0000-0200-000002000000}">
      <mc:AlternateContent xmlns:x12ac="http://schemas.microsoft.com/office/spreadsheetml/2011/1/ac" xmlns:mc="http://schemas.openxmlformats.org/markup-compatibility/2006">
        <mc:Choice Requires="x12ac">
          <x12ac:list>"Yes, they are considered in below list","No, they are covered elsewhere"</x12ac:list>
        </mc:Choice>
        <mc:Fallback>
          <formula1>"Yes, they are considered in below list,No, they are covered elsewhere"</formula1>
        </mc:Fallback>
      </mc:AlternateContent>
    </dataValidation>
    <dataValidation type="list" allowBlank="1" showInputMessage="1" showErrorMessage="1" sqref="P170:P194 P122:P141 P143:P153 P104:P120 P155:P168" xr:uid="{00000000-0002-0000-0200-000003000000}">
      <formula1>$D$234:$D$238</formula1>
    </dataValidation>
    <dataValidation type="list" allowBlank="1" showInputMessage="1" showErrorMessage="1" sqref="M143:M153 M122:M141 M170:M194 M104:M120 M155:M168" xr:uid="{00000000-0002-0000-0200-000004000000}">
      <formula1>$D$227:$D$231</formula1>
    </dataValidation>
    <dataValidation type="list" allowBlank="1" showInputMessage="1" showErrorMessage="1" sqref="K143:K153 K122:K141 K170:K194 K104:K120 K155:K168" xr:uid="{00000000-0002-0000-0200-000005000000}">
      <formula1>$D$220:$D$224</formula1>
    </dataValidation>
    <dataValidation type="list" allowBlank="1" showInputMessage="1" showErrorMessage="1" sqref="I143:I153 I122:I141 I170:I194 I104:I120 I155:I168" xr:uid="{00000000-0002-0000-0200-000006000000}">
      <formula1>$D$213:$D$217</formula1>
    </dataValidation>
    <dataValidation type="list" allowBlank="1" showInputMessage="1" showErrorMessage="1" sqref="G143:G153 G122:G141 G170:G194 G104:G120 G155:G168" xr:uid="{00000000-0002-0000-0200-000007000000}">
      <formula1>$D$206:$D$210</formula1>
    </dataValidation>
    <dataValidation type="list" allowBlank="1" showInputMessage="1" showErrorMessage="1" sqref="E104:E120 E122:E141 E143:E153 E170:E194 E155:E168" xr:uid="{00000000-0002-0000-0200-000008000000}">
      <formula1>$D$199:$D$203</formula1>
    </dataValidation>
    <dataValidation type="list" allowBlank="1" showInputMessage="1" showErrorMessage="1" sqref="D253:D254" xr:uid="{00000000-0002-0000-0200-000009000000}">
      <formula1>"(select),Yes,No"</formula1>
    </dataValidation>
    <dataValidation type="whole" allowBlank="1" showInputMessage="1" showErrorMessage="1" sqref="F138:F141 F125:F128" xr:uid="{00000000-0002-0000-0200-00000A000000}">
      <formula1>1</formula1>
      <formula2>4</formula2>
    </dataValidation>
    <dataValidation type="list" allowBlank="1" showInputMessage="1" showErrorMessage="1" sqref="D251" xr:uid="{00000000-0002-0000-0200-00000B000000}">
      <formula1>"(select),Low,Medium,High,Very High"</formula1>
    </dataValidation>
  </dataValidations>
  <hyperlinks>
    <hyperlink ref="B43" location="'AI Act Check (Optional)'!A1" display="* See separate worksheet for determining" xr:uid="{2E32BCD4-02AD-41C2-8B53-0626178BB5E5}"/>
  </hyperlinks>
  <pageMargins left="0.7" right="0.7" top="0.78740157499999996" bottom="0.78740157499999996" header="0.3" footer="0.3"/>
  <pageSetup paperSize="8" scale="2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6" r:id="rId4" name="Option Button 4">
              <controlPr defaultSize="0" autoFill="0" autoLine="0" autoPict="0">
                <anchor moveWithCells="1">
                  <from>
                    <xdr:col>2</xdr:col>
                    <xdr:colOff>2202180</xdr:colOff>
                    <xdr:row>39</xdr:row>
                    <xdr:rowOff>144780</xdr:rowOff>
                  </from>
                  <to>
                    <xdr:col>3</xdr:col>
                    <xdr:colOff>1165860</xdr:colOff>
                    <xdr:row>41</xdr:row>
                    <xdr:rowOff>15240</xdr:rowOff>
                  </to>
                </anchor>
              </controlPr>
            </control>
          </mc:Choice>
        </mc:AlternateContent>
        <mc:AlternateContent xmlns:mc="http://schemas.openxmlformats.org/markup-compatibility/2006">
          <mc:Choice Requires="x14">
            <control shapeId="3077" r:id="rId5" name="Option Button 5">
              <controlPr defaultSize="0" autoFill="0" autoLine="0" autoPict="0">
                <anchor moveWithCells="1">
                  <from>
                    <xdr:col>3</xdr:col>
                    <xdr:colOff>1181100</xdr:colOff>
                    <xdr:row>39</xdr:row>
                    <xdr:rowOff>175260</xdr:rowOff>
                  </from>
                  <to>
                    <xdr:col>3</xdr:col>
                    <xdr:colOff>2407920</xdr:colOff>
                    <xdr:row>40</xdr:row>
                    <xdr:rowOff>205740</xdr:rowOff>
                  </to>
                </anchor>
              </controlPr>
            </control>
          </mc:Choice>
        </mc:AlternateContent>
        <mc:AlternateContent xmlns:mc="http://schemas.openxmlformats.org/markup-compatibility/2006">
          <mc:Choice Requires="x14">
            <control shapeId="3078" r:id="rId6" name="Option Button 6">
              <controlPr defaultSize="0" autoFill="0" autoLine="0" autoPict="0">
                <anchor moveWithCells="1">
                  <from>
                    <xdr:col>4</xdr:col>
                    <xdr:colOff>15240</xdr:colOff>
                    <xdr:row>39</xdr:row>
                    <xdr:rowOff>152400</xdr:rowOff>
                  </from>
                  <to>
                    <xdr:col>5</xdr:col>
                    <xdr:colOff>190500</xdr:colOff>
                    <xdr:row>41</xdr:row>
                    <xdr:rowOff>15240</xdr:rowOff>
                  </to>
                </anchor>
              </controlPr>
            </control>
          </mc:Choice>
        </mc:AlternateContent>
        <mc:AlternateContent xmlns:mc="http://schemas.openxmlformats.org/markup-compatibility/2006">
          <mc:Choice Requires="x14">
            <control shapeId="3079" r:id="rId7" name="Check Box 7">
              <controlPr defaultSize="0" autoFill="0" autoLine="0" autoPict="0">
                <anchor moveWithCells="1">
                  <from>
                    <xdr:col>5</xdr:col>
                    <xdr:colOff>1813560</xdr:colOff>
                    <xdr:row>39</xdr:row>
                    <xdr:rowOff>175260</xdr:rowOff>
                  </from>
                  <to>
                    <xdr:col>8</xdr:col>
                    <xdr:colOff>7620</xdr:colOff>
                    <xdr:row>40</xdr:row>
                    <xdr:rowOff>205740</xdr:rowOff>
                  </to>
                </anchor>
              </controlPr>
            </control>
          </mc:Choice>
        </mc:AlternateContent>
        <mc:AlternateContent xmlns:mc="http://schemas.openxmlformats.org/markup-compatibility/2006">
          <mc:Choice Requires="x14">
            <control shapeId="3080" r:id="rId8" name="Check Box 8">
              <controlPr defaultSize="0" autoFill="0" autoLine="0" autoPict="0">
                <anchor moveWithCells="1">
                  <from>
                    <xdr:col>2</xdr:col>
                    <xdr:colOff>2202180</xdr:colOff>
                    <xdr:row>40</xdr:row>
                    <xdr:rowOff>198120</xdr:rowOff>
                  </from>
                  <to>
                    <xdr:col>3</xdr:col>
                    <xdr:colOff>716280</xdr:colOff>
                    <xdr:row>42</xdr:row>
                    <xdr:rowOff>15240</xdr:rowOff>
                  </to>
                </anchor>
              </controlPr>
            </control>
          </mc:Choice>
        </mc:AlternateContent>
        <mc:AlternateContent xmlns:mc="http://schemas.openxmlformats.org/markup-compatibility/2006">
          <mc:Choice Requires="x14">
            <control shapeId="3081" r:id="rId9" name="Check Box 9">
              <controlPr defaultSize="0" autoFill="0" autoLine="0" autoPict="0">
                <anchor moveWithCells="1">
                  <from>
                    <xdr:col>3</xdr:col>
                    <xdr:colOff>777240</xdr:colOff>
                    <xdr:row>40</xdr:row>
                    <xdr:rowOff>198120</xdr:rowOff>
                  </from>
                  <to>
                    <xdr:col>3</xdr:col>
                    <xdr:colOff>1516380</xdr:colOff>
                    <xdr:row>42</xdr:row>
                    <xdr:rowOff>15240</xdr:rowOff>
                  </to>
                </anchor>
              </controlPr>
            </control>
          </mc:Choice>
        </mc:AlternateContent>
        <mc:AlternateContent xmlns:mc="http://schemas.openxmlformats.org/markup-compatibility/2006">
          <mc:Choice Requires="x14">
            <control shapeId="3082" r:id="rId10" name="Check Box 10">
              <controlPr defaultSize="0" autoFill="0" autoLine="0" autoPict="0">
                <anchor moveWithCells="1">
                  <from>
                    <xdr:col>3</xdr:col>
                    <xdr:colOff>1623060</xdr:colOff>
                    <xdr:row>40</xdr:row>
                    <xdr:rowOff>182880</xdr:rowOff>
                  </from>
                  <to>
                    <xdr:col>3</xdr:col>
                    <xdr:colOff>2346960</xdr:colOff>
                    <xdr:row>42</xdr:row>
                    <xdr:rowOff>30480</xdr:rowOff>
                  </to>
                </anchor>
              </controlPr>
            </control>
          </mc:Choice>
        </mc:AlternateContent>
        <mc:AlternateContent xmlns:mc="http://schemas.openxmlformats.org/markup-compatibility/2006">
          <mc:Choice Requires="x14">
            <control shapeId="3083" r:id="rId11" name="Check Box 11">
              <controlPr defaultSize="0" autoFill="0" autoLine="0" autoPict="0">
                <anchor moveWithCells="1">
                  <from>
                    <xdr:col>4</xdr:col>
                    <xdr:colOff>22860</xdr:colOff>
                    <xdr:row>40</xdr:row>
                    <xdr:rowOff>198120</xdr:rowOff>
                  </from>
                  <to>
                    <xdr:col>4</xdr:col>
                    <xdr:colOff>777240</xdr:colOff>
                    <xdr:row>42</xdr:row>
                    <xdr:rowOff>15240</xdr:rowOff>
                  </to>
                </anchor>
              </controlPr>
            </control>
          </mc:Choice>
        </mc:AlternateContent>
        <mc:AlternateContent xmlns:mc="http://schemas.openxmlformats.org/markup-compatibility/2006">
          <mc:Choice Requires="x14">
            <control shapeId="3084" r:id="rId12" name="Option Button 12">
              <controlPr defaultSize="0" autoFill="0" autoLine="0" autoPict="0">
                <anchor moveWithCells="1">
                  <from>
                    <xdr:col>5</xdr:col>
                    <xdr:colOff>274320</xdr:colOff>
                    <xdr:row>39</xdr:row>
                    <xdr:rowOff>175260</xdr:rowOff>
                  </from>
                  <to>
                    <xdr:col>5</xdr:col>
                    <xdr:colOff>1463040</xdr:colOff>
                    <xdr:row>40</xdr:row>
                    <xdr:rowOff>205740</xdr:rowOff>
                  </to>
                </anchor>
              </controlPr>
            </control>
          </mc:Choice>
        </mc:AlternateContent>
        <mc:AlternateContent xmlns:mc="http://schemas.openxmlformats.org/markup-compatibility/2006">
          <mc:Choice Requires="x14">
            <control shapeId="3085" r:id="rId13" name="Check Box 13">
              <controlPr defaultSize="0" autoFill="0" autoLine="0" autoPict="0">
                <anchor moveWithCells="1">
                  <from>
                    <xdr:col>5</xdr:col>
                    <xdr:colOff>53340</xdr:colOff>
                    <xdr:row>40</xdr:row>
                    <xdr:rowOff>190500</xdr:rowOff>
                  </from>
                  <to>
                    <xdr:col>5</xdr:col>
                    <xdr:colOff>1341120</xdr:colOff>
                    <xdr:row>42</xdr:row>
                    <xdr:rowOff>30480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694E-8A79-409E-9028-BFE33A80D323}">
  <sheetPr codeName="Tabelle15">
    <tabColor rgb="FF2E5E58"/>
    <pageSetUpPr fitToPage="1"/>
  </sheetPr>
  <dimension ref="A1:BQ265"/>
  <sheetViews>
    <sheetView showGridLines="0" zoomScaleNormal="100" workbookViewId="0">
      <selection activeCell="D6" sqref="D6:F6"/>
    </sheetView>
  </sheetViews>
  <sheetFormatPr baseColWidth="10" defaultColWidth="11.44140625" defaultRowHeight="14.4" x14ac:dyDescent="0.3"/>
  <cols>
    <col min="1" max="1" width="9.21875" customWidth="1"/>
    <col min="2" max="2" width="10.109375" customWidth="1"/>
    <col min="3" max="3" width="32.5546875" customWidth="1"/>
    <col min="4" max="4" width="35.5546875" customWidth="1"/>
    <col min="5" max="5" width="17.33203125" customWidth="1"/>
    <col min="6" max="6" width="31" customWidth="1"/>
    <col min="7" max="14" width="9.6640625" customWidth="1"/>
    <col min="15" max="15" width="35" customWidth="1"/>
    <col min="16" max="17" width="9.6640625" customWidth="1"/>
    <col min="18" max="18" width="6" customWidth="1"/>
    <col min="19" max="19" width="23.33203125" customWidth="1"/>
    <col min="20" max="20" width="13" customWidth="1"/>
    <col min="35" max="38" width="2.6640625" customWidth="1"/>
    <col min="39" max="62" width="3.6640625" customWidth="1"/>
  </cols>
  <sheetData>
    <row r="1" spans="1:8" ht="23.4" x14ac:dyDescent="0.3">
      <c r="A1" s="248" t="s">
        <v>1456</v>
      </c>
      <c r="B1" s="248"/>
      <c r="C1" s="248"/>
      <c r="D1" s="248"/>
      <c r="E1" s="248"/>
    </row>
    <row r="2" spans="1:8" x14ac:dyDescent="0.3">
      <c r="A2" s="195" t="s">
        <v>1455</v>
      </c>
      <c r="B2" s="195"/>
      <c r="C2" s="195"/>
      <c r="D2" s="195"/>
      <c r="E2" s="195"/>
    </row>
    <row r="3" spans="1:8" x14ac:dyDescent="0.3">
      <c r="A3" s="63"/>
      <c r="B3" s="63"/>
      <c r="C3" s="63"/>
      <c r="D3" s="63"/>
      <c r="E3" s="63"/>
    </row>
    <row r="4" spans="1:8" ht="89.4" customHeight="1" x14ac:dyDescent="0.3">
      <c r="A4" s="196" t="s">
        <v>1389</v>
      </c>
      <c r="B4" s="196"/>
      <c r="C4" s="196"/>
      <c r="D4" s="196"/>
      <c r="E4" s="196"/>
      <c r="F4" s="196"/>
    </row>
    <row r="5" spans="1:8" x14ac:dyDescent="0.3">
      <c r="A5" s="63"/>
      <c r="B5" s="63"/>
      <c r="C5" s="63"/>
      <c r="D5" s="63"/>
      <c r="E5" s="63"/>
    </row>
    <row r="6" spans="1:8" ht="14.7" customHeight="1" x14ac:dyDescent="0.3">
      <c r="A6" s="1" t="s">
        <v>965</v>
      </c>
      <c r="B6" s="2"/>
      <c r="C6" s="2"/>
      <c r="D6" s="197"/>
      <c r="E6" s="198"/>
      <c r="F6" s="198"/>
      <c r="G6" s="2"/>
      <c r="H6" s="2"/>
    </row>
    <row r="7" spans="1:8" x14ac:dyDescent="0.3">
      <c r="A7" s="2" t="s">
        <v>966</v>
      </c>
      <c r="B7" s="2"/>
      <c r="C7" s="2"/>
      <c r="D7" s="199"/>
      <c r="E7" s="200"/>
      <c r="F7" s="200"/>
      <c r="G7" s="2"/>
      <c r="H7" s="2"/>
    </row>
    <row r="8" spans="1:8" x14ac:dyDescent="0.3">
      <c r="A8" s="2" t="s">
        <v>1055</v>
      </c>
      <c r="B8" s="2"/>
      <c r="C8" s="2"/>
      <c r="D8" s="199"/>
      <c r="E8" s="200"/>
      <c r="F8" s="200"/>
      <c r="G8" s="2"/>
      <c r="H8" s="2"/>
    </row>
    <row r="9" spans="1:8" x14ac:dyDescent="0.3">
      <c r="A9" s="2" t="s">
        <v>1056</v>
      </c>
      <c r="B9" s="2"/>
      <c r="C9" s="2"/>
      <c r="D9" s="62"/>
      <c r="E9" s="2"/>
      <c r="F9" s="185">
        <v>45383</v>
      </c>
      <c r="G9" s="2"/>
      <c r="H9" s="2"/>
    </row>
    <row r="10" spans="1:8" x14ac:dyDescent="0.3">
      <c r="A10" s="2"/>
      <c r="B10" s="2"/>
      <c r="C10" s="2"/>
      <c r="D10" s="2"/>
      <c r="E10" s="2"/>
      <c r="F10" s="2"/>
      <c r="G10" s="2"/>
      <c r="H10" s="2"/>
    </row>
    <row r="11" spans="1:8" ht="18" x14ac:dyDescent="0.3">
      <c r="A11" s="1" t="s">
        <v>970</v>
      </c>
      <c r="B11" s="2"/>
      <c r="C11" s="2"/>
      <c r="D11" s="203"/>
      <c r="E11" s="204"/>
      <c r="F11" s="204"/>
      <c r="G11" s="2"/>
      <c r="H11" s="2"/>
    </row>
    <row r="12" spans="1:8" x14ac:dyDescent="0.3">
      <c r="A12" s="2"/>
      <c r="B12" s="2"/>
      <c r="C12" s="2"/>
      <c r="D12" s="2"/>
      <c r="E12" s="2"/>
      <c r="F12" s="2"/>
      <c r="G12" s="2"/>
      <c r="H12" s="2"/>
    </row>
    <row r="13" spans="1:8" ht="14.4" customHeight="1" x14ac:dyDescent="0.3">
      <c r="A13" s="201" t="s">
        <v>1057</v>
      </c>
      <c r="B13" s="201"/>
      <c r="C13" s="202"/>
      <c r="D13" s="189"/>
      <c r="E13" s="190"/>
      <c r="F13" s="190"/>
      <c r="G13" s="2"/>
      <c r="H13" s="2"/>
    </row>
    <row r="14" spans="1:8" ht="16.95" customHeight="1" x14ac:dyDescent="0.3">
      <c r="A14" s="201" t="s">
        <v>1058</v>
      </c>
      <c r="B14" s="201"/>
      <c r="C14" s="202"/>
      <c r="D14" s="189"/>
      <c r="E14" s="190"/>
      <c r="F14" s="190"/>
      <c r="G14" s="2"/>
      <c r="H14" s="2"/>
    </row>
    <row r="15" spans="1:8" ht="14.4" customHeight="1" x14ac:dyDescent="0.3">
      <c r="A15" s="86"/>
      <c r="B15" s="87"/>
      <c r="D15" s="84"/>
      <c r="E15" s="84"/>
      <c r="F15" s="84"/>
      <c r="G15" s="2"/>
      <c r="H15" s="2"/>
    </row>
    <row r="16" spans="1:8" x14ac:dyDescent="0.3">
      <c r="A16" s="2" t="s">
        <v>1382</v>
      </c>
      <c r="B16" s="2"/>
      <c r="C16" s="2"/>
      <c r="D16" s="25" t="s">
        <v>1450</v>
      </c>
      <c r="E16" s="2"/>
      <c r="F16" s="93" t="s">
        <v>1449</v>
      </c>
      <c r="G16" s="2"/>
      <c r="H16" s="2"/>
    </row>
    <row r="17" spans="1:9" x14ac:dyDescent="0.3">
      <c r="A17" s="2"/>
      <c r="B17" s="2"/>
      <c r="C17" s="2"/>
      <c r="D17" s="2"/>
      <c r="E17" s="2"/>
      <c r="F17" s="2"/>
      <c r="G17" s="2"/>
      <c r="H17" s="2"/>
    </row>
    <row r="18" spans="1:9" ht="15.6" x14ac:dyDescent="0.3">
      <c r="A18" s="3" t="s">
        <v>186</v>
      </c>
      <c r="B18" s="4" t="s">
        <v>187</v>
      </c>
      <c r="C18" s="4"/>
      <c r="D18" s="2"/>
      <c r="E18" s="2"/>
      <c r="F18" s="2"/>
      <c r="G18" s="2"/>
      <c r="H18" s="5"/>
    </row>
    <row r="19" spans="1:9" x14ac:dyDescent="0.3">
      <c r="A19" s="2"/>
      <c r="B19" s="2"/>
      <c r="C19" s="2"/>
      <c r="D19" s="2"/>
      <c r="E19" s="2"/>
      <c r="F19" s="2"/>
      <c r="G19" s="2"/>
      <c r="H19" s="2"/>
    </row>
    <row r="20" spans="1:9" ht="62.4" customHeight="1" x14ac:dyDescent="0.3">
      <c r="B20" s="205" t="s">
        <v>1390</v>
      </c>
      <c r="C20" s="205"/>
      <c r="D20" s="205"/>
      <c r="E20" s="205"/>
      <c r="F20" s="205"/>
      <c r="G20" s="205"/>
      <c r="H20" s="205"/>
      <c r="I20" s="109"/>
    </row>
    <row r="21" spans="1:9" x14ac:dyDescent="0.3">
      <c r="A21" s="2"/>
      <c r="B21" s="2"/>
      <c r="C21" s="2"/>
      <c r="D21" s="2"/>
      <c r="E21" s="2"/>
      <c r="F21" s="2"/>
      <c r="G21" s="2"/>
      <c r="H21" s="2"/>
    </row>
    <row r="22" spans="1:9" ht="15.6" customHeight="1" x14ac:dyDescent="0.3">
      <c r="A22" s="6" t="s">
        <v>0</v>
      </c>
      <c r="B22" s="192" t="s">
        <v>976</v>
      </c>
      <c r="C22" s="193"/>
      <c r="D22" s="189"/>
      <c r="E22" s="190"/>
      <c r="F22" s="190"/>
      <c r="G22" s="190"/>
      <c r="H22" s="191"/>
    </row>
    <row r="23" spans="1:9" ht="114.6" customHeight="1" x14ac:dyDescent="0.3">
      <c r="A23" s="6" t="s">
        <v>21</v>
      </c>
      <c r="B23" s="192" t="s">
        <v>978</v>
      </c>
      <c r="C23" s="193"/>
      <c r="D23" s="189"/>
      <c r="E23" s="190"/>
      <c r="F23" s="190"/>
      <c r="G23" s="190"/>
      <c r="H23" s="191"/>
    </row>
    <row r="24" spans="1:9" ht="30.6" customHeight="1" x14ac:dyDescent="0.3">
      <c r="A24" s="6" t="s">
        <v>22</v>
      </c>
      <c r="B24" s="192" t="s">
        <v>980</v>
      </c>
      <c r="C24" s="193"/>
      <c r="D24" s="189"/>
      <c r="E24" s="190"/>
      <c r="F24" s="190"/>
      <c r="G24" s="190"/>
      <c r="H24" s="191"/>
    </row>
    <row r="25" spans="1:9" ht="30" customHeight="1" x14ac:dyDescent="0.3">
      <c r="A25" s="6" t="s">
        <v>23</v>
      </c>
      <c r="B25" s="192" t="s">
        <v>1061</v>
      </c>
      <c r="C25" s="193"/>
      <c r="D25" s="189"/>
      <c r="E25" s="190"/>
      <c r="F25" s="190"/>
      <c r="G25" s="190"/>
      <c r="H25" s="191"/>
    </row>
    <row r="26" spans="1:9" ht="28.2" customHeight="1" x14ac:dyDescent="0.3">
      <c r="A26" s="6" t="s">
        <v>24</v>
      </c>
      <c r="B26" s="192" t="s">
        <v>983</v>
      </c>
      <c r="C26" s="193"/>
      <c r="D26" s="189"/>
      <c r="E26" s="190"/>
      <c r="F26" s="190"/>
      <c r="G26" s="190"/>
      <c r="H26" s="191"/>
    </row>
    <row r="27" spans="1:9" ht="29.4" customHeight="1" x14ac:dyDescent="0.3">
      <c r="A27" s="6" t="s">
        <v>25</v>
      </c>
      <c r="B27" s="192" t="s">
        <v>1062</v>
      </c>
      <c r="C27" s="193"/>
      <c r="D27" s="189"/>
      <c r="E27" s="190"/>
      <c r="F27" s="190"/>
      <c r="G27" s="190"/>
      <c r="H27" s="191"/>
    </row>
    <row r="28" spans="1:9" ht="14.4" customHeight="1" x14ac:dyDescent="0.3">
      <c r="A28" s="6" t="s">
        <v>26</v>
      </c>
      <c r="B28" s="192" t="s">
        <v>1063</v>
      </c>
      <c r="C28" s="193"/>
      <c r="D28" s="189"/>
      <c r="E28" s="190"/>
      <c r="F28" s="190"/>
      <c r="G28" s="190"/>
      <c r="H28" s="191"/>
    </row>
    <row r="29" spans="1:9" ht="14.4" customHeight="1" x14ac:dyDescent="0.3">
      <c r="A29" s="6" t="s">
        <v>27</v>
      </c>
      <c r="B29" s="192" t="s">
        <v>987</v>
      </c>
      <c r="C29" s="193"/>
      <c r="D29" s="189"/>
      <c r="E29" s="190"/>
      <c r="F29" s="190"/>
      <c r="G29" s="190"/>
      <c r="H29" s="191"/>
    </row>
    <row r="30" spans="1:9" ht="31.8" customHeight="1" x14ac:dyDescent="0.3">
      <c r="A30" s="6" t="s">
        <v>28</v>
      </c>
      <c r="B30" s="192" t="s">
        <v>1064</v>
      </c>
      <c r="C30" s="193"/>
      <c r="D30" s="189"/>
      <c r="E30" s="190"/>
      <c r="F30" s="190"/>
      <c r="G30" s="190"/>
      <c r="H30" s="191"/>
    </row>
    <row r="31" spans="1:9" ht="27" customHeight="1" x14ac:dyDescent="0.3">
      <c r="A31" s="6" t="s">
        <v>29</v>
      </c>
      <c r="B31" s="192" t="s">
        <v>990</v>
      </c>
      <c r="C31" s="193"/>
      <c r="D31" s="189"/>
      <c r="E31" s="190"/>
      <c r="F31" s="190"/>
      <c r="G31" s="190"/>
      <c r="H31" s="191"/>
    </row>
    <row r="32" spans="1:9" ht="27.6" customHeight="1" x14ac:dyDescent="0.3">
      <c r="A32" s="6" t="s">
        <v>62</v>
      </c>
      <c r="B32" s="192" t="s">
        <v>991</v>
      </c>
      <c r="C32" s="193"/>
      <c r="D32" s="189"/>
      <c r="E32" s="190"/>
      <c r="F32" s="190"/>
      <c r="G32" s="190"/>
      <c r="H32" s="191"/>
    </row>
    <row r="33" spans="1:9" ht="28.2" customHeight="1" x14ac:dyDescent="0.3">
      <c r="A33" s="6" t="s">
        <v>106</v>
      </c>
      <c r="B33" s="192" t="s">
        <v>993</v>
      </c>
      <c r="C33" s="193"/>
      <c r="D33" s="189"/>
      <c r="E33" s="190"/>
      <c r="F33" s="190"/>
      <c r="G33" s="190"/>
      <c r="H33" s="191"/>
    </row>
    <row r="34" spans="1:9" ht="14.4" customHeight="1" x14ac:dyDescent="0.3">
      <c r="A34" s="6" t="s">
        <v>107</v>
      </c>
      <c r="B34" s="192" t="s">
        <v>1066</v>
      </c>
      <c r="C34" s="193"/>
      <c r="D34" s="189"/>
      <c r="E34" s="190"/>
      <c r="F34" s="190"/>
      <c r="G34" s="190"/>
      <c r="H34" s="191"/>
    </row>
    <row r="35" spans="1:9" ht="14.4" customHeight="1" x14ac:dyDescent="0.3">
      <c r="A35" s="6" t="s">
        <v>367</v>
      </c>
      <c r="B35" s="192" t="s">
        <v>996</v>
      </c>
      <c r="C35" s="193"/>
      <c r="D35" s="189"/>
      <c r="E35" s="190"/>
      <c r="F35" s="190"/>
      <c r="G35" s="190"/>
      <c r="H35" s="191"/>
    </row>
    <row r="36" spans="1:9" x14ac:dyDescent="0.3">
      <c r="A36" s="6" t="s">
        <v>383</v>
      </c>
      <c r="B36" s="192" t="s">
        <v>1383</v>
      </c>
      <c r="C36" s="193"/>
      <c r="D36" s="189"/>
      <c r="E36" s="190"/>
      <c r="F36" s="190"/>
      <c r="G36" s="190"/>
      <c r="H36" s="191"/>
    </row>
    <row r="37" spans="1:9" x14ac:dyDescent="0.3">
      <c r="A37" s="6" t="s">
        <v>762</v>
      </c>
      <c r="B37" s="192" t="s">
        <v>1003</v>
      </c>
      <c r="C37" s="193"/>
      <c r="D37" s="209"/>
      <c r="E37" s="210"/>
      <c r="F37" s="210"/>
      <c r="G37" s="210"/>
      <c r="H37" s="211"/>
    </row>
    <row r="39" spans="1:9" x14ac:dyDescent="0.3">
      <c r="A39" s="6" t="s">
        <v>763</v>
      </c>
      <c r="B39" s="195" t="s">
        <v>1004</v>
      </c>
      <c r="C39" s="207"/>
      <c r="D39" s="189"/>
      <c r="E39" s="190"/>
      <c r="F39" s="190"/>
      <c r="G39" s="190"/>
      <c r="H39" s="191"/>
    </row>
    <row r="41" spans="1:9" ht="17.399999999999999" customHeight="1" x14ac:dyDescent="0.3">
      <c r="A41" s="6" t="s">
        <v>764</v>
      </c>
      <c r="B41" s="201" t="s">
        <v>1385</v>
      </c>
      <c r="C41" s="201"/>
    </row>
    <row r="42" spans="1:9" x14ac:dyDescent="0.3">
      <c r="A42" s="6" t="s">
        <v>765</v>
      </c>
      <c r="B42" s="201" t="s">
        <v>1386</v>
      </c>
      <c r="C42" s="201"/>
      <c r="F42" s="77"/>
      <c r="G42" s="77"/>
      <c r="H42" s="77"/>
    </row>
    <row r="43" spans="1:9" ht="15.6" customHeight="1" x14ac:dyDescent="0.3">
      <c r="B43" s="148" t="s">
        <v>1384</v>
      </c>
      <c r="F43" s="77"/>
      <c r="G43" s="77"/>
      <c r="H43" s="77"/>
    </row>
    <row r="45" spans="1:9" ht="15.6" x14ac:dyDescent="0.3">
      <c r="A45" s="3" t="s">
        <v>1006</v>
      </c>
      <c r="B45" s="4" t="s">
        <v>1391</v>
      </c>
      <c r="C45" s="4"/>
    </row>
    <row r="47" spans="1:9" ht="52.2" customHeight="1" x14ac:dyDescent="0.3">
      <c r="B47" s="205" t="s">
        <v>1392</v>
      </c>
      <c r="C47" s="205"/>
      <c r="D47" s="205"/>
      <c r="E47" s="205"/>
      <c r="F47" s="205"/>
      <c r="G47" s="205"/>
      <c r="H47" s="205"/>
      <c r="I47" s="109"/>
    </row>
    <row r="49" spans="1:9" ht="68.400000000000006" customHeight="1" x14ac:dyDescent="0.3">
      <c r="A49" s="6" t="s">
        <v>108</v>
      </c>
      <c r="B49" s="192" t="s">
        <v>1393</v>
      </c>
      <c r="C49" s="193"/>
      <c r="D49" s="189"/>
      <c r="E49" s="190"/>
      <c r="F49" s="190"/>
      <c r="G49" s="190"/>
      <c r="H49" s="191"/>
    </row>
    <row r="50" spans="1:9" ht="69" customHeight="1" x14ac:dyDescent="0.3">
      <c r="A50" s="6" t="s">
        <v>109</v>
      </c>
      <c r="B50" s="192" t="s">
        <v>1394</v>
      </c>
      <c r="C50" s="193"/>
      <c r="D50" s="189"/>
      <c r="E50" s="190"/>
      <c r="F50" s="190"/>
      <c r="G50" s="190"/>
      <c r="H50" s="191"/>
    </row>
    <row r="52" spans="1:9" ht="15.6" x14ac:dyDescent="0.3">
      <c r="A52" s="3" t="s">
        <v>1012</v>
      </c>
      <c r="B52" s="4" t="s">
        <v>1395</v>
      </c>
      <c r="C52" s="4"/>
    </row>
    <row r="54" spans="1:9" ht="98.4" customHeight="1" x14ac:dyDescent="0.3">
      <c r="B54" s="205" t="s">
        <v>1402</v>
      </c>
      <c r="C54" s="205"/>
      <c r="D54" s="205"/>
      <c r="E54" s="205"/>
      <c r="F54" s="205"/>
      <c r="G54" s="205"/>
      <c r="H54" s="205"/>
      <c r="I54" s="109"/>
    </row>
    <row r="56" spans="1:9" x14ac:dyDescent="0.3">
      <c r="A56" s="12"/>
      <c r="B56" s="10" t="s">
        <v>1405</v>
      </c>
      <c r="C56" s="10" t="s">
        <v>1406</v>
      </c>
      <c r="D56" s="10" t="s">
        <v>1403</v>
      </c>
      <c r="E56" s="61" t="s">
        <v>37</v>
      </c>
      <c r="F56" s="10" t="s">
        <v>1407</v>
      </c>
      <c r="G56" s="10" t="s">
        <v>1404</v>
      </c>
      <c r="H56" s="10" t="s">
        <v>1408</v>
      </c>
    </row>
    <row r="57" spans="1:9" x14ac:dyDescent="0.3">
      <c r="A57" s="29">
        <v>3.01</v>
      </c>
      <c r="B57" s="15"/>
      <c r="C57" s="8"/>
      <c r="D57" s="9"/>
      <c r="E57" s="57" t="s">
        <v>1050</v>
      </c>
      <c r="F57" s="9"/>
      <c r="G57" s="9"/>
      <c r="H57" s="112"/>
    </row>
    <row r="58" spans="1:9" x14ac:dyDescent="0.3">
      <c r="A58" s="29">
        <f>MAX($A$52:$A57)+0.01</f>
        <v>3.0199999999999996</v>
      </c>
      <c r="B58" s="15"/>
      <c r="C58" s="28"/>
      <c r="D58" s="9"/>
      <c r="E58" s="57"/>
      <c r="F58" s="9"/>
      <c r="G58" s="9"/>
      <c r="H58" s="112"/>
    </row>
    <row r="59" spans="1:9" x14ac:dyDescent="0.3">
      <c r="A59" s="29">
        <f>MAX($A$52:$A58)+0.01</f>
        <v>3.0299999999999994</v>
      </c>
      <c r="B59" s="15"/>
      <c r="C59" s="8"/>
      <c r="D59" s="9"/>
      <c r="E59" s="57"/>
      <c r="F59" s="9"/>
      <c r="G59" s="9"/>
      <c r="H59" s="112"/>
    </row>
    <row r="60" spans="1:9" x14ac:dyDescent="0.3">
      <c r="A60" s="29">
        <f>MAX($A$52:$A59)+0.01</f>
        <v>3.0399999999999991</v>
      </c>
      <c r="B60" s="15"/>
      <c r="C60" s="28"/>
      <c r="D60" s="27"/>
      <c r="E60" s="57"/>
      <c r="F60" s="27"/>
      <c r="G60" s="27"/>
      <c r="H60" s="113"/>
    </row>
    <row r="61" spans="1:9" x14ac:dyDescent="0.3">
      <c r="A61" s="29">
        <f>MAX($A$52:$A60)+0.01</f>
        <v>3.0499999999999989</v>
      </c>
      <c r="B61" s="15"/>
      <c r="C61" s="28"/>
      <c r="D61" s="27"/>
      <c r="E61" s="57"/>
      <c r="F61" s="27"/>
      <c r="G61" s="27"/>
      <c r="H61" s="113"/>
    </row>
    <row r="62" spans="1:9" x14ac:dyDescent="0.3">
      <c r="A62" s="29">
        <f>MAX($A$52:$A61)+0.01</f>
        <v>3.0599999999999987</v>
      </c>
      <c r="B62" s="15"/>
      <c r="C62" s="28"/>
      <c r="D62" s="27"/>
      <c r="E62" s="57"/>
      <c r="F62" s="27"/>
      <c r="G62" s="27"/>
      <c r="H62" s="113"/>
    </row>
    <row r="63" spans="1:9" x14ac:dyDescent="0.3">
      <c r="A63" s="29">
        <f>MAX($A$52:$A62)+0.01</f>
        <v>3.0699999999999985</v>
      </c>
      <c r="B63" s="26"/>
      <c r="C63" s="28"/>
      <c r="D63" s="27"/>
      <c r="E63" s="57"/>
      <c r="F63" s="27"/>
      <c r="G63" s="27"/>
      <c r="H63" s="113"/>
    </row>
    <row r="64" spans="1:9" x14ac:dyDescent="0.3">
      <c r="A64" s="29">
        <f>MAX($A$52:$A63)+0.01</f>
        <v>3.0799999999999983</v>
      </c>
      <c r="B64" s="26"/>
      <c r="C64" s="28"/>
      <c r="D64" s="27"/>
      <c r="E64" s="57"/>
      <c r="F64" s="27"/>
      <c r="G64" s="27"/>
      <c r="H64" s="113"/>
    </row>
    <row r="65" spans="1:8" x14ac:dyDescent="0.3">
      <c r="A65" s="29">
        <f>MAX($A$52:$A64)+0.01</f>
        <v>3.0899999999999981</v>
      </c>
      <c r="B65" s="26"/>
      <c r="C65" s="28"/>
      <c r="D65" s="27"/>
      <c r="E65" s="57"/>
      <c r="F65" s="27"/>
      <c r="G65" s="27"/>
      <c r="H65" s="113"/>
    </row>
    <row r="66" spans="1:8" x14ac:dyDescent="0.3">
      <c r="A66" s="29">
        <f>MAX($A$52:$A65)+0.01</f>
        <v>3.0999999999999979</v>
      </c>
      <c r="B66" s="26"/>
      <c r="C66" s="28"/>
      <c r="D66" s="27"/>
      <c r="E66" s="57"/>
      <c r="F66" s="27"/>
      <c r="G66" s="27"/>
      <c r="H66" s="113"/>
    </row>
    <row r="67" spans="1:8" x14ac:dyDescent="0.3">
      <c r="A67" s="29">
        <f>MAX($A$52:$A66)+0.01</f>
        <v>3.1099999999999977</v>
      </c>
      <c r="B67" s="26"/>
      <c r="C67" s="28"/>
      <c r="D67" s="27"/>
      <c r="E67" s="57"/>
      <c r="F67" s="27"/>
      <c r="G67" s="27"/>
      <c r="H67" s="113"/>
    </row>
    <row r="68" spans="1:8" x14ac:dyDescent="0.3">
      <c r="A68" s="29">
        <f>MAX($A$52:$A67)+0.01</f>
        <v>3.1199999999999974</v>
      </c>
      <c r="B68" s="26"/>
      <c r="C68" s="28"/>
      <c r="D68" s="27"/>
      <c r="E68" s="57"/>
      <c r="F68" s="27"/>
      <c r="G68" s="27"/>
      <c r="H68" s="113"/>
    </row>
    <row r="69" spans="1:8" x14ac:dyDescent="0.3">
      <c r="A69" s="29">
        <f>MAX($A$52:$A68)+0.01</f>
        <v>3.1299999999999972</v>
      </c>
      <c r="B69" s="26"/>
      <c r="C69" s="28"/>
      <c r="D69" s="27"/>
      <c r="E69" s="57"/>
      <c r="F69" s="27"/>
      <c r="G69" s="27"/>
      <c r="H69" s="113"/>
    </row>
    <row r="70" spans="1:8" x14ac:dyDescent="0.3">
      <c r="A70" s="29">
        <f>MAX($A$52:$A69)+0.01</f>
        <v>3.139999999999997</v>
      </c>
      <c r="B70" s="26"/>
      <c r="C70" s="28"/>
      <c r="D70" s="27"/>
      <c r="E70" s="57"/>
      <c r="F70" s="27"/>
      <c r="G70" s="27"/>
      <c r="H70" s="113"/>
    </row>
    <row r="71" spans="1:8" x14ac:dyDescent="0.3">
      <c r="A71" s="29">
        <f>MAX($A$52:$A70)+0.01</f>
        <v>3.1499999999999968</v>
      </c>
      <c r="B71" s="26"/>
      <c r="C71" s="28"/>
      <c r="D71" s="27"/>
      <c r="E71" s="57"/>
      <c r="F71" s="27"/>
      <c r="G71" s="27"/>
      <c r="H71" s="113"/>
    </row>
    <row r="72" spans="1:8" x14ac:dyDescent="0.3">
      <c r="A72" s="29">
        <f>MAX($A$52:$A71)+0.01</f>
        <v>3.1599999999999966</v>
      </c>
      <c r="B72" s="26"/>
      <c r="C72" s="28"/>
      <c r="D72" s="27"/>
      <c r="E72" s="57"/>
      <c r="F72" s="27"/>
      <c r="G72" s="27"/>
      <c r="H72" s="113"/>
    </row>
    <row r="73" spans="1:8" x14ac:dyDescent="0.3">
      <c r="A73" s="29">
        <f>MAX($A$52:$A72)+0.01</f>
        <v>3.1699999999999964</v>
      </c>
      <c r="B73" s="26"/>
      <c r="C73" s="28"/>
      <c r="D73" s="27"/>
      <c r="E73" s="57"/>
      <c r="F73" s="27"/>
      <c r="G73" s="27"/>
      <c r="H73" s="113"/>
    </row>
    <row r="74" spans="1:8" x14ac:dyDescent="0.3">
      <c r="A74" s="29">
        <f>MAX($A$52:$A73)+0.01</f>
        <v>3.1799999999999962</v>
      </c>
      <c r="B74" s="26"/>
      <c r="C74" s="28"/>
      <c r="D74" s="27"/>
      <c r="E74" s="57"/>
      <c r="F74" s="27"/>
      <c r="G74" s="27"/>
      <c r="H74" s="113"/>
    </row>
    <row r="75" spans="1:8" x14ac:dyDescent="0.3">
      <c r="A75" s="29">
        <f>MAX($A$52:$A74)+0.01</f>
        <v>3.1899999999999959</v>
      </c>
      <c r="B75" s="26"/>
      <c r="C75" s="28"/>
      <c r="D75" s="27"/>
      <c r="E75" s="57"/>
      <c r="F75" s="27"/>
      <c r="G75" s="27"/>
      <c r="H75" s="113"/>
    </row>
    <row r="76" spans="1:8" x14ac:dyDescent="0.3">
      <c r="A76" s="29">
        <f>MAX($A$52:$A75)+0.01</f>
        <v>3.1999999999999957</v>
      </c>
      <c r="B76" s="26"/>
      <c r="C76" s="28"/>
      <c r="D76" s="27"/>
      <c r="E76" s="57"/>
      <c r="F76" s="27"/>
      <c r="G76" s="27"/>
      <c r="H76" s="113"/>
    </row>
    <row r="77" spans="1:8" x14ac:dyDescent="0.3">
      <c r="A77" s="29">
        <f>MAX($A$52:$A76)+0.01</f>
        <v>3.2099999999999955</v>
      </c>
      <c r="B77" s="26"/>
      <c r="C77" s="28"/>
      <c r="D77" s="27"/>
      <c r="E77" s="57"/>
      <c r="F77" s="27"/>
      <c r="G77" s="27"/>
      <c r="H77" s="113"/>
    </row>
    <row r="78" spans="1:8" x14ac:dyDescent="0.3">
      <c r="A78" s="29">
        <f>MAX($A$52:$A77)+0.01</f>
        <v>3.2199999999999953</v>
      </c>
      <c r="B78" s="26"/>
      <c r="C78" s="28"/>
      <c r="D78" s="27"/>
      <c r="E78" s="57"/>
      <c r="F78" s="27"/>
      <c r="G78" s="27"/>
      <c r="H78" s="113"/>
    </row>
    <row r="79" spans="1:8" x14ac:dyDescent="0.3">
      <c r="A79" s="29">
        <f>MAX($A$52:$A78)+0.01</f>
        <v>3.2299999999999951</v>
      </c>
      <c r="B79" s="26"/>
      <c r="C79" s="28"/>
      <c r="D79" s="27"/>
      <c r="E79" s="57"/>
      <c r="F79" s="27"/>
      <c r="G79" s="27"/>
      <c r="H79" s="113"/>
    </row>
    <row r="80" spans="1:8" x14ac:dyDescent="0.3">
      <c r="A80" s="29">
        <f>MAX($A$52:$A79)+0.01</f>
        <v>3.2399999999999949</v>
      </c>
      <c r="B80" s="26"/>
      <c r="C80" s="28"/>
      <c r="D80" s="27"/>
      <c r="E80" s="57"/>
      <c r="F80" s="27"/>
      <c r="G80" s="27"/>
      <c r="H80" s="113"/>
    </row>
    <row r="81" spans="1:64" x14ac:dyDescent="0.3">
      <c r="A81" s="29">
        <f>MAX($A$52:$A80)+0.01</f>
        <v>3.2499999999999947</v>
      </c>
      <c r="B81" s="26"/>
      <c r="C81" s="28"/>
      <c r="D81" s="27"/>
      <c r="E81" s="57"/>
      <c r="F81" s="27"/>
      <c r="G81" s="27"/>
      <c r="H81" s="113"/>
    </row>
    <row r="82" spans="1:64" x14ac:dyDescent="0.3">
      <c r="A82" s="29">
        <f>MAX($A$52:$A81)+0.01</f>
        <v>3.2599999999999945</v>
      </c>
      <c r="B82" s="26"/>
      <c r="C82" s="28"/>
      <c r="D82" s="27"/>
      <c r="E82" s="57"/>
      <c r="F82" s="27"/>
      <c r="G82" s="27"/>
      <c r="H82" s="113"/>
    </row>
    <row r="83" spans="1:64" x14ac:dyDescent="0.3">
      <c r="A83" s="29">
        <f>MAX($A$52:$A82)+0.01</f>
        <v>3.2699999999999942</v>
      </c>
      <c r="B83" s="26"/>
      <c r="C83" s="28"/>
      <c r="D83" s="27"/>
      <c r="E83" s="57"/>
      <c r="F83" s="27"/>
      <c r="G83" s="27"/>
      <c r="H83" s="113"/>
    </row>
    <row r="84" spans="1:64" x14ac:dyDescent="0.3">
      <c r="A84" s="29">
        <f>MAX($A$52:$A83)+0.01</f>
        <v>3.279999999999994</v>
      </c>
      <c r="B84" s="26"/>
      <c r="C84" s="28"/>
      <c r="D84" s="27"/>
      <c r="E84" s="57"/>
      <c r="F84" s="27"/>
      <c r="G84" s="27"/>
      <c r="H84" s="113"/>
    </row>
    <row r="85" spans="1:64" x14ac:dyDescent="0.3">
      <c r="A85" s="29">
        <f>MAX($A$52:$A84)+0.01</f>
        <v>3.2899999999999938</v>
      </c>
      <c r="B85" s="26"/>
      <c r="C85" s="28"/>
      <c r="D85" s="27"/>
      <c r="E85" s="57"/>
      <c r="F85" s="27"/>
      <c r="G85" s="27"/>
      <c r="H85" s="113"/>
    </row>
    <row r="86" spans="1:64" x14ac:dyDescent="0.3">
      <c r="A86" s="29">
        <f>MAX($A$52:$A85)+0.01</f>
        <v>3.2999999999999936</v>
      </c>
      <c r="B86" s="26"/>
      <c r="C86" s="28"/>
      <c r="D86" s="27"/>
      <c r="E86" s="57"/>
      <c r="F86" s="27"/>
      <c r="G86" s="27"/>
      <c r="H86" s="113"/>
    </row>
    <row r="87" spans="1:64" x14ac:dyDescent="0.3">
      <c r="E87" s="58" t="s">
        <v>1050</v>
      </c>
    </row>
    <row r="88" spans="1:64" ht="14.4" customHeight="1" x14ac:dyDescent="0.3">
      <c r="B88" s="247" t="s">
        <v>1411</v>
      </c>
      <c r="C88" s="247"/>
      <c r="D88" s="59" t="s">
        <v>1413</v>
      </c>
      <c r="E88" s="183" t="s">
        <v>1396</v>
      </c>
    </row>
    <row r="89" spans="1:64" x14ac:dyDescent="0.3">
      <c r="B89" s="247"/>
      <c r="C89" s="247"/>
      <c r="D89" s="59"/>
      <c r="E89" s="183" t="s">
        <v>1397</v>
      </c>
    </row>
    <row r="90" spans="1:64" x14ac:dyDescent="0.3">
      <c r="B90" s="247"/>
      <c r="C90" s="247"/>
      <c r="E90" s="183" t="s">
        <v>1410</v>
      </c>
    </row>
    <row r="91" spans="1:64" ht="15" customHeight="1" x14ac:dyDescent="0.3">
      <c r="B91" s="247"/>
      <c r="C91" s="247"/>
      <c r="E91" s="183" t="s">
        <v>1409</v>
      </c>
    </row>
    <row r="92" spans="1:64" x14ac:dyDescent="0.3">
      <c r="B92" s="247"/>
      <c r="C92" s="247"/>
      <c r="E92" s="183" t="s">
        <v>1398</v>
      </c>
    </row>
    <row r="93" spans="1:64" ht="5.4" customHeight="1" x14ac:dyDescent="0.3">
      <c r="E93" s="56" t="s">
        <v>1399</v>
      </c>
      <c r="AI93" s="56"/>
      <c r="AJ93" s="56"/>
      <c r="AK93" s="56"/>
      <c r="AL93" s="56"/>
      <c r="AM93" s="233" t="s">
        <v>416</v>
      </c>
      <c r="AN93" s="233"/>
      <c r="AO93" s="233"/>
      <c r="AP93" s="233"/>
      <c r="AQ93" s="233"/>
      <c r="AR93" s="233"/>
      <c r="AS93" s="233"/>
      <c r="AT93" s="233"/>
      <c r="AU93" s="233"/>
      <c r="AV93" s="233"/>
      <c r="AW93" s="233"/>
      <c r="AX93" s="233"/>
      <c r="AY93" s="233" t="s">
        <v>417</v>
      </c>
      <c r="AZ93" s="233"/>
      <c r="BA93" s="233"/>
      <c r="BB93" s="233"/>
      <c r="BC93" s="233"/>
      <c r="BD93" s="233"/>
      <c r="BE93" s="233"/>
      <c r="BF93" s="233"/>
      <c r="BG93" s="233"/>
      <c r="BH93" s="233"/>
      <c r="BI93" s="233"/>
      <c r="BJ93" s="233"/>
    </row>
    <row r="94" spans="1:64" x14ac:dyDescent="0.3">
      <c r="B94" s="39"/>
      <c r="C94" s="39"/>
      <c r="E94" s="56"/>
      <c r="I94" s="2"/>
      <c r="J94" s="78"/>
      <c r="K94" s="77"/>
      <c r="L94" s="77"/>
      <c r="M94" s="77"/>
      <c r="N94" s="77"/>
      <c r="AH94" s="184"/>
      <c r="AI94" s="232" t="s">
        <v>1565</v>
      </c>
      <c r="AJ94" s="232" t="s">
        <v>392</v>
      </c>
      <c r="AK94" s="232" t="s">
        <v>1565</v>
      </c>
      <c r="AL94" s="232" t="s">
        <v>392</v>
      </c>
      <c r="AM94" s="232" t="s">
        <v>1473</v>
      </c>
      <c r="AN94" s="232" t="s">
        <v>392</v>
      </c>
      <c r="AO94" s="232" t="s">
        <v>1472</v>
      </c>
      <c r="AP94" s="232" t="s">
        <v>392</v>
      </c>
      <c r="AQ94" s="232" t="s">
        <v>13</v>
      </c>
      <c r="AR94" s="232" t="s">
        <v>392</v>
      </c>
      <c r="AS94" s="232" t="s">
        <v>1445</v>
      </c>
      <c r="AT94" s="232" t="s">
        <v>392</v>
      </c>
      <c r="AU94" s="232" t="s">
        <v>1475</v>
      </c>
      <c r="AV94" s="232" t="s">
        <v>392</v>
      </c>
      <c r="AW94" s="232" t="s">
        <v>1441</v>
      </c>
      <c r="AX94" s="232" t="s">
        <v>392</v>
      </c>
      <c r="AY94" s="232" t="s">
        <v>1473</v>
      </c>
      <c r="AZ94" s="232" t="s">
        <v>392</v>
      </c>
      <c r="BA94" s="232" t="s">
        <v>1472</v>
      </c>
      <c r="BB94" s="232" t="s">
        <v>392</v>
      </c>
      <c r="BC94" s="232" t="s">
        <v>13</v>
      </c>
      <c r="BD94" s="232" t="s">
        <v>392</v>
      </c>
      <c r="BE94" s="232" t="s">
        <v>1445</v>
      </c>
      <c r="BF94" s="232" t="s">
        <v>392</v>
      </c>
      <c r="BG94" s="232" t="s">
        <v>1475</v>
      </c>
      <c r="BH94" s="232" t="s">
        <v>392</v>
      </c>
      <c r="BI94" s="232" t="s">
        <v>1441</v>
      </c>
      <c r="BJ94" s="232" t="s">
        <v>392</v>
      </c>
      <c r="BK94" s="56"/>
      <c r="BL94" s="56"/>
    </row>
    <row r="95" spans="1:64" ht="15.6" customHeight="1" x14ac:dyDescent="0.3">
      <c r="A95" s="3" t="s">
        <v>1016</v>
      </c>
      <c r="B95" s="4" t="s">
        <v>1414</v>
      </c>
      <c r="C95" s="4"/>
      <c r="AH95" s="184"/>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56"/>
      <c r="BL95" s="56"/>
    </row>
    <row r="96" spans="1:64" ht="15.6" x14ac:dyDescent="0.3">
      <c r="A96" s="3"/>
      <c r="B96" s="4"/>
      <c r="C96" s="4"/>
      <c r="AH96" s="184"/>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56"/>
      <c r="BL96" s="56"/>
    </row>
    <row r="97" spans="1:64" ht="220.2" customHeight="1" x14ac:dyDescent="0.3">
      <c r="A97" s="3"/>
      <c r="B97" s="205" t="s">
        <v>1415</v>
      </c>
      <c r="C97" s="205"/>
      <c r="D97" s="205"/>
      <c r="E97" s="205"/>
      <c r="F97" s="205"/>
      <c r="G97" s="205"/>
      <c r="H97" s="205"/>
      <c r="I97" s="109"/>
      <c r="AH97" s="184"/>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56"/>
      <c r="BL97" s="56"/>
    </row>
    <row r="98" spans="1:64" ht="15.6" x14ac:dyDescent="0.3">
      <c r="A98" s="3"/>
      <c r="B98" s="4"/>
      <c r="C98" s="4"/>
      <c r="AH98" s="184"/>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56"/>
      <c r="BL98" s="56"/>
    </row>
    <row r="99" spans="1:64" ht="16.2" customHeight="1" x14ac:dyDescent="0.3">
      <c r="A99" s="3"/>
      <c r="B99" s="208" t="s">
        <v>1417</v>
      </c>
      <c r="C99" s="208"/>
      <c r="D99" s="25" t="s">
        <v>1420</v>
      </c>
      <c r="F99" s="20" t="s">
        <v>1416</v>
      </c>
      <c r="G99" s="14">
        <v>3</v>
      </c>
      <c r="H99" t="s">
        <v>1419</v>
      </c>
      <c r="J99" s="20" t="s">
        <v>1418</v>
      </c>
      <c r="L99" s="220"/>
      <c r="M99" s="220"/>
      <c r="N99" s="220"/>
      <c r="O99" s="220"/>
      <c r="P99" s="220"/>
      <c r="Q99" s="220"/>
      <c r="R99" s="220"/>
      <c r="S99" s="220"/>
      <c r="T99" s="220"/>
      <c r="U99" s="220"/>
      <c r="AH99" s="184"/>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56"/>
      <c r="BL99" s="56"/>
    </row>
    <row r="100" spans="1:64" ht="16.2" customHeight="1" x14ac:dyDescent="0.3">
      <c r="A100" s="2"/>
      <c r="B100" s="2"/>
      <c r="C100" s="2"/>
      <c r="W100" s="30" t="s">
        <v>1435</v>
      </c>
      <c r="AF100" s="31" t="s">
        <v>1436</v>
      </c>
      <c r="AG100">
        <v>5</v>
      </c>
      <c r="AH100" s="184"/>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56"/>
      <c r="BL100" s="56"/>
    </row>
    <row r="101" spans="1:64" ht="15" customHeight="1" x14ac:dyDescent="0.3">
      <c r="B101" s="21" t="s">
        <v>1405</v>
      </c>
      <c r="C101" s="237" t="s">
        <v>1421</v>
      </c>
      <c r="D101" s="237" t="s">
        <v>1458</v>
      </c>
      <c r="E101" s="237" t="s">
        <v>1423</v>
      </c>
      <c r="F101" s="238" t="s">
        <v>1424</v>
      </c>
      <c r="G101" s="239" t="s">
        <v>1426</v>
      </c>
      <c r="H101" s="239"/>
      <c r="I101" s="235" t="s">
        <v>1427</v>
      </c>
      <c r="J101" s="235"/>
      <c r="K101" s="236" t="s">
        <v>1428</v>
      </c>
      <c r="L101" s="236"/>
      <c r="M101" s="236" t="s">
        <v>1429</v>
      </c>
      <c r="N101" s="236"/>
      <c r="O101" s="238" t="s">
        <v>1430</v>
      </c>
      <c r="P101" s="236" t="s">
        <v>1431</v>
      </c>
      <c r="Q101" s="236"/>
      <c r="R101" s="42" t="s">
        <v>1335</v>
      </c>
      <c r="S101" s="237" t="s">
        <v>1432</v>
      </c>
      <c r="T101" s="237" t="s">
        <v>1433</v>
      </c>
      <c r="U101" s="237" t="s">
        <v>1434</v>
      </c>
      <c r="AH101" s="184"/>
      <c r="AI101" s="56"/>
      <c r="AJ101" s="56"/>
      <c r="AK101" s="56"/>
      <c r="AL101" s="56"/>
      <c r="AM101" s="56"/>
      <c r="AN101" s="56"/>
      <c r="AO101" s="56"/>
      <c r="AP101" s="56"/>
      <c r="AQ101" s="56"/>
      <c r="AR101" s="56"/>
      <c r="AS101" s="56"/>
      <c r="AT101" s="56"/>
      <c r="AU101" s="56"/>
      <c r="AV101" s="56"/>
      <c r="AW101" s="104"/>
      <c r="AX101" s="104"/>
      <c r="AY101" s="56"/>
      <c r="AZ101" s="56"/>
      <c r="BA101" s="56"/>
      <c r="BB101" s="56"/>
      <c r="BC101" s="56"/>
      <c r="BD101" s="56"/>
      <c r="BE101" s="56"/>
      <c r="BF101" s="56"/>
      <c r="BG101" s="56"/>
      <c r="BH101" s="56"/>
      <c r="BI101" s="56"/>
      <c r="BJ101" s="56"/>
      <c r="BK101" s="56"/>
      <c r="BL101" s="56"/>
    </row>
    <row r="102" spans="1:64" ht="14.7" customHeight="1" x14ac:dyDescent="0.3">
      <c r="B102" s="10"/>
      <c r="C102" s="237"/>
      <c r="D102" s="237"/>
      <c r="E102" s="237"/>
      <c r="F102" s="238"/>
      <c r="G102" s="11" t="s">
        <v>1425</v>
      </c>
      <c r="H102" s="11" t="s">
        <v>1422</v>
      </c>
      <c r="I102" s="11" t="s">
        <v>1425</v>
      </c>
      <c r="J102" s="11" t="s">
        <v>1422</v>
      </c>
      <c r="K102" s="11" t="s">
        <v>1425</v>
      </c>
      <c r="L102" s="11" t="s">
        <v>1422</v>
      </c>
      <c r="M102" s="11" t="s">
        <v>1425</v>
      </c>
      <c r="N102" s="11" t="s">
        <v>1422</v>
      </c>
      <c r="O102" s="238"/>
      <c r="P102" s="11" t="s">
        <v>1425</v>
      </c>
      <c r="Q102" s="11" t="s">
        <v>1422</v>
      </c>
      <c r="R102" s="11" t="s">
        <v>1336</v>
      </c>
      <c r="S102" s="237"/>
      <c r="T102" s="237"/>
      <c r="U102" s="237"/>
      <c r="W102" s="246" t="s">
        <v>1437</v>
      </c>
      <c r="X102" s="246"/>
      <c r="Y102" s="246"/>
      <c r="Z102" s="246"/>
      <c r="AA102" s="246"/>
      <c r="AB102" s="242" t="s">
        <v>1438</v>
      </c>
      <c r="AC102" s="242"/>
      <c r="AD102" s="242"/>
      <c r="AE102" s="242"/>
      <c r="AF102" s="242"/>
      <c r="AG102" s="32" t="s">
        <v>1440</v>
      </c>
      <c r="AH102" s="184"/>
      <c r="AI102" s="56"/>
      <c r="AJ102" s="56"/>
      <c r="AK102" s="56"/>
      <c r="AL102" s="56"/>
      <c r="AM102" s="56"/>
      <c r="AN102" s="56"/>
      <c r="AO102" s="56"/>
      <c r="AP102" s="56"/>
      <c r="AQ102" s="56"/>
      <c r="AR102" s="56"/>
      <c r="AS102" s="56"/>
      <c r="AT102" s="56"/>
      <c r="AU102" s="56"/>
      <c r="AV102" s="56"/>
      <c r="AW102" s="104"/>
      <c r="AX102" s="104"/>
      <c r="AY102" s="56"/>
      <c r="AZ102" s="56"/>
      <c r="BA102" s="56"/>
      <c r="BB102" s="56"/>
      <c r="BC102" s="56"/>
      <c r="BD102" s="56"/>
      <c r="BE102" s="56"/>
      <c r="BF102" s="56"/>
      <c r="BG102" s="56"/>
      <c r="BH102" s="56"/>
      <c r="BI102" s="56"/>
      <c r="BJ102" s="56"/>
      <c r="BK102" s="56"/>
      <c r="BL102" s="56"/>
    </row>
    <row r="103" spans="1:64" ht="24" customHeight="1" x14ac:dyDescent="0.3">
      <c r="A103" s="20"/>
      <c r="B103" s="243" t="s">
        <v>1447</v>
      </c>
      <c r="C103" s="244"/>
      <c r="D103" s="244"/>
      <c r="E103" s="244"/>
      <c r="F103" s="244"/>
      <c r="G103" s="244"/>
      <c r="H103" s="244"/>
      <c r="I103" s="244"/>
      <c r="J103" s="244"/>
      <c r="K103" s="244"/>
      <c r="L103" s="244"/>
      <c r="M103" s="244"/>
      <c r="N103" s="244"/>
      <c r="O103" s="244"/>
      <c r="P103" s="244"/>
      <c r="Q103" s="244"/>
      <c r="R103" s="244"/>
      <c r="S103" s="244"/>
      <c r="T103" s="244"/>
      <c r="U103" s="245"/>
      <c r="W103" s="33" t="s">
        <v>86</v>
      </c>
      <c r="X103" s="33" t="s">
        <v>87</v>
      </c>
      <c r="Y103" s="33" t="s">
        <v>88</v>
      </c>
      <c r="Z103" s="33" t="s">
        <v>89</v>
      </c>
      <c r="AA103" s="33" t="s">
        <v>90</v>
      </c>
      <c r="AB103" s="34" t="s">
        <v>86</v>
      </c>
      <c r="AC103" s="34" t="s">
        <v>87</v>
      </c>
      <c r="AD103" s="34" t="s">
        <v>88</v>
      </c>
      <c r="AE103" s="34" t="s">
        <v>89</v>
      </c>
      <c r="AF103" s="34" t="s">
        <v>90</v>
      </c>
      <c r="AG103" s="35" t="s">
        <v>1439</v>
      </c>
      <c r="AI103" s="56"/>
      <c r="AJ103" s="56"/>
      <c r="AK103" s="56"/>
      <c r="AL103" s="56"/>
      <c r="AM103" s="56"/>
      <c r="AN103" s="56"/>
      <c r="AO103" s="56"/>
      <c r="AP103" s="56"/>
      <c r="AQ103" s="56"/>
      <c r="AR103" s="56"/>
      <c r="AS103" s="56"/>
      <c r="AT103" s="56"/>
      <c r="AU103" s="56"/>
      <c r="AV103" s="56"/>
      <c r="AW103" s="104"/>
      <c r="AX103" s="104"/>
      <c r="AY103" s="56"/>
      <c r="AZ103" s="56"/>
      <c r="BA103" s="56"/>
      <c r="BB103" s="56"/>
      <c r="BC103" s="56"/>
      <c r="BD103" s="56"/>
      <c r="BE103" s="56"/>
      <c r="BF103" s="56"/>
      <c r="BG103" s="56"/>
      <c r="BH103" s="56"/>
      <c r="BI103" s="56"/>
      <c r="BJ103" s="56"/>
      <c r="BK103" s="56"/>
      <c r="BL103" s="56"/>
    </row>
    <row r="104" spans="1:64" ht="69" x14ac:dyDescent="0.3">
      <c r="A104" s="12">
        <v>4.01</v>
      </c>
      <c r="B104" s="65" t="s">
        <v>1441</v>
      </c>
      <c r="C104" s="66" t="s">
        <v>1459</v>
      </c>
      <c r="D104" s="44"/>
      <c r="E104" s="45" t="s">
        <v>1036</v>
      </c>
      <c r="F104" s="44"/>
      <c r="G104" s="45"/>
      <c r="H104" s="46" t="str">
        <f t="shared" ref="H104:H120" si="0">IFERROR(VLOOKUP($E104,$D$199:$E$203,2,FALSE)*VLOOKUP($G104,$D$206:$E$210,2,FALSE),"")</f>
        <v/>
      </c>
      <c r="I104" s="45"/>
      <c r="J104" s="46" t="str">
        <f t="shared" ref="J104:J120" si="1">IFERROR(VLOOKUP($E104,$D$199:$E$203,2,FALSE)*VLOOKUP($I104,$D$213:$E$217,2,FALSE),"")</f>
        <v/>
      </c>
      <c r="K104" s="45"/>
      <c r="L104" s="46" t="str">
        <f t="shared" ref="L104:L120" si="2">IFERROR(VLOOKUP($E104,$D$199:$E$203,2,FALSE)*VLOOKUP($K104,$D$220:$E$224,2,FALSE),"")</f>
        <v/>
      </c>
      <c r="M104" s="45"/>
      <c r="N104" s="46" t="str">
        <f t="shared" ref="N104:N120" si="3">IFERROR(VLOOKUP($E104,$D$199:$E$203,2,FALSE)*VLOOKUP($M104,$D$227:$E$231,2,FALSE),"")</f>
        <v/>
      </c>
      <c r="O104" s="44"/>
      <c r="P104" s="45"/>
      <c r="Q104" s="50" t="str">
        <f t="shared" ref="Q104:Q120" si="4">IFERROR(VLOOKUP($E104,$D$199:$E$203,2,FALSE)*VLOOKUP($P104,$D$234:$E$238,2,FALSE),"")</f>
        <v/>
      </c>
      <c r="R104" s="53" t="str">
        <f t="shared" ref="R104:R120" si="5">IF(LEFT($D$16,2)="Ja",IF(IFERROR(FIND("DS",$B104),0)&gt;0,IF(_xlfn.NUMBERVALUE($Q104)&gt;=$N$235,"Hoch",IF(_xlfn.NUMBERVALUE($Q104)&gt;=$N$234,"Mittel",IF(_xlfn.NUMBERVALUE($Q104)&gt;0,"Tief",IF($P104="N/A","","Wahl treffen")))),""),"")</f>
        <v/>
      </c>
      <c r="S104" s="43"/>
      <c r="T104" s="43"/>
      <c r="U104" s="43"/>
      <c r="W104" s="37">
        <v>0</v>
      </c>
      <c r="X104" s="37">
        <v>0</v>
      </c>
      <c r="Y104" s="37">
        <v>0</v>
      </c>
      <c r="Z104" s="37">
        <v>0</v>
      </c>
      <c r="AA104" s="37">
        <v>0</v>
      </c>
      <c r="AB104" s="38">
        <v>0</v>
      </c>
      <c r="AC104" s="38">
        <v>0</v>
      </c>
      <c r="AD104" s="38">
        <v>0</v>
      </c>
      <c r="AE104" s="38">
        <v>0</v>
      </c>
      <c r="AF104" s="38">
        <v>0</v>
      </c>
      <c r="AG104" s="36">
        <f t="shared" ref="AG104:AG141" si="6">IF($AG$100=5,SUM(AB104:AF104),IF($AG$100=4,SUM(AB104:AE104),IF($AG$100=3,SUM(AB104:AD104),IF($AG$100=2,SUM(AB104:AC104),AB104))))/$AG$100</f>
        <v>0</v>
      </c>
      <c r="AI104" s="79" t="e">
        <f>IFERROR($H104,0)+IFERROR($J104,0)+IFERROR($L104,0)+IFERROR($N104,0)</f>
        <v>#VALUE!</v>
      </c>
      <c r="AJ104" s="79" t="e">
        <f>IF($AI104=0,0,4*16)</f>
        <v>#VALUE!</v>
      </c>
      <c r="AK104" s="79">
        <f>IFERROR($Q104*1,0)</f>
        <v>0</v>
      </c>
      <c r="AL104" s="79">
        <f>IF($AK104=0,0,16)</f>
        <v>0</v>
      </c>
      <c r="AM104" s="79">
        <f>IF(IFERROR(FIND(AM$94,$B104),0)&gt;0,_xlfn.NUMBERVALUE($H104&amp;" "),0)</f>
        <v>0</v>
      </c>
      <c r="AN104" s="79">
        <f>IF(AM104&gt;0,16,0)</f>
        <v>0</v>
      </c>
      <c r="AO104" s="79">
        <f>IF(IFERROR(FIND(AO$94,$B104),0)&gt;0,_xlfn.NUMBERVALUE($H104&amp;" "),0)</f>
        <v>0</v>
      </c>
      <c r="AP104" s="79">
        <f>IF(AO104&gt;0,16,0)</f>
        <v>0</v>
      </c>
      <c r="AQ104" s="79">
        <f>IF(IFERROR(FIND(AQ$94,$B104),0)&gt;0,_xlfn.NUMBERVALUE($H104&amp;" "),0)</f>
        <v>0</v>
      </c>
      <c r="AR104" s="79">
        <f>IF(AQ104&gt;0,16,0)</f>
        <v>0</v>
      </c>
      <c r="AS104" s="79">
        <f>IF(IFERROR(FIND(AS$94,$B104),0)&gt;0,_xlfn.NUMBERVALUE($H104&amp;" "),0)</f>
        <v>0</v>
      </c>
      <c r="AT104" s="79">
        <f>IF(AS104&gt;0,16,0)</f>
        <v>0</v>
      </c>
      <c r="AU104" s="79">
        <f>IF(IFERROR(FIND(AU$94,$B104),0)&gt;0,_xlfn.NUMBERVALUE($H104&amp;" "),0)</f>
        <v>0</v>
      </c>
      <c r="AV104" s="79">
        <f>IF(AU104&gt;0,16,0)</f>
        <v>0</v>
      </c>
      <c r="AW104" s="79">
        <f>IF(IFERROR(FIND(AW$94,$B104),0)&gt;0,_xlfn.NUMBERVALUE($H104&amp;" "),0)</f>
        <v>0</v>
      </c>
      <c r="AX104" s="79">
        <f>IF(AW104&gt;0,16,0)</f>
        <v>0</v>
      </c>
      <c r="AY104" s="79">
        <f>IF(IFERROR(FIND(AY$94,$B104),0)&gt;0,_xlfn.NUMBERVALUE($J104&amp;" "),0)</f>
        <v>0</v>
      </c>
      <c r="AZ104" s="79">
        <f>IF(AY104&gt;0,16,0)</f>
        <v>0</v>
      </c>
      <c r="BA104" s="79">
        <f>IF(IFERROR(FIND(BA$94,$B104),0)&gt;0,_xlfn.NUMBERVALUE($J104&amp;" "),0)</f>
        <v>0</v>
      </c>
      <c r="BB104" s="79">
        <f>IF(BA104&gt;0,16,0)</f>
        <v>0</v>
      </c>
      <c r="BC104" s="79">
        <f>IF(IFERROR(FIND(BC$94,$B104),0)&gt;0,_xlfn.NUMBERVALUE($J104&amp;" "),0)</f>
        <v>0</v>
      </c>
      <c r="BD104" s="79">
        <f>IF(BC104&gt;0,16,0)</f>
        <v>0</v>
      </c>
      <c r="BE104" s="79">
        <f>IF(IFERROR(FIND(BE$94,$B104),0)&gt;0,_xlfn.NUMBERVALUE($J104&amp;" "),0)</f>
        <v>0</v>
      </c>
      <c r="BF104" s="79">
        <f>IF(BE104&gt;0,16,0)</f>
        <v>0</v>
      </c>
      <c r="BG104" s="79">
        <f>IF(IFERROR(FIND(BG$94,$B104),0)&gt;0,_xlfn.NUMBERVALUE($J104&amp;" "),0)</f>
        <v>0</v>
      </c>
      <c r="BH104" s="79">
        <f>IF(BG104&gt;0,16,0)</f>
        <v>0</v>
      </c>
      <c r="BI104" s="79">
        <f>IF(IFERROR(FIND(BI$94,$B104),0)&gt;0,_xlfn.NUMBERVALUE($J104&amp;" "),0)</f>
        <v>0</v>
      </c>
      <c r="BJ104" s="79">
        <f>IF(BI104&gt;0,16,0)</f>
        <v>0</v>
      </c>
      <c r="BK104" s="56"/>
      <c r="BL104" s="56"/>
    </row>
    <row r="105" spans="1:64" ht="82.8" x14ac:dyDescent="0.3">
      <c r="A105" s="12">
        <f>IF(ISBLANK($C105),"",MAX($A$95:$A104)+0.01)</f>
        <v>4.0199999999999996</v>
      </c>
      <c r="B105" s="65" t="s">
        <v>1442</v>
      </c>
      <c r="C105" s="66" t="s">
        <v>1463</v>
      </c>
      <c r="D105" s="44"/>
      <c r="E105" s="45" t="s">
        <v>91</v>
      </c>
      <c r="F105" s="44"/>
      <c r="G105" s="45"/>
      <c r="H105" s="46" t="str">
        <f t="shared" si="0"/>
        <v/>
      </c>
      <c r="I105" s="45"/>
      <c r="J105" s="46" t="str">
        <f t="shared" si="1"/>
        <v/>
      </c>
      <c r="K105" s="45"/>
      <c r="L105" s="46" t="str">
        <f t="shared" si="2"/>
        <v/>
      </c>
      <c r="M105" s="45"/>
      <c r="N105" s="46" t="str">
        <f t="shared" si="3"/>
        <v/>
      </c>
      <c r="O105" s="44"/>
      <c r="P105" s="45"/>
      <c r="Q105" s="50" t="str">
        <f t="shared" si="4"/>
        <v/>
      </c>
      <c r="R105" s="53" t="str">
        <f t="shared" si="5"/>
        <v>Wahl treffen</v>
      </c>
      <c r="S105" s="43"/>
      <c r="T105" s="43"/>
      <c r="U105" s="43"/>
      <c r="W105" s="37">
        <v>0</v>
      </c>
      <c r="X105" s="37">
        <v>0</v>
      </c>
      <c r="Y105" s="37">
        <v>0</v>
      </c>
      <c r="Z105" s="37">
        <v>0</v>
      </c>
      <c r="AA105" s="37">
        <v>0</v>
      </c>
      <c r="AB105" s="38">
        <v>0</v>
      </c>
      <c r="AC105" s="38">
        <v>0</v>
      </c>
      <c r="AD105" s="38">
        <v>0</v>
      </c>
      <c r="AE105" s="38">
        <v>0</v>
      </c>
      <c r="AF105" s="38">
        <v>0</v>
      </c>
      <c r="AG105" s="36">
        <f t="shared" ref="AG105:AG120" si="7">IF($AG$100=5,SUM(AB105:AF105),IF($AG$100=4,SUM(AB105:AE105),IF($AG$100=3,SUM(AB105:AD105),IF($AG$100=2,SUM(AB105:AC105),AB105))))/$AG$100</f>
        <v>0</v>
      </c>
      <c r="AI105" s="79" t="e">
        <f>IFERROR($H105,0)+IFERROR($J105,0)+IFERROR($L105,0)+IFERROR($N105,0)</f>
        <v>#VALUE!</v>
      </c>
      <c r="AJ105" s="79" t="e">
        <f>IF($AI105=0,0,4*16)</f>
        <v>#VALUE!</v>
      </c>
      <c r="AK105" s="79">
        <f t="shared" ref="AK105:AK120" si="8">IFERROR($Q105*1,0)</f>
        <v>0</v>
      </c>
      <c r="AL105" s="79">
        <f t="shared" ref="AL105:AL120" si="9">IF($AK105=0,0,16)</f>
        <v>0</v>
      </c>
      <c r="AM105" s="79">
        <f t="shared" ref="AM105:AM174" si="10">IF(IFERROR(FIND(AM$94,$B105),0)&gt;0,_xlfn.NUMBERVALUE($H105&amp;" "),0)</f>
        <v>0</v>
      </c>
      <c r="AN105" s="79">
        <f t="shared" ref="AN105:AN174" si="11">IF(AM105&gt;0,16,0)</f>
        <v>0</v>
      </c>
      <c r="AO105" s="79">
        <f t="shared" ref="AO105:AQ174" si="12">IF(IFERROR(FIND(AO$94,$B105),0)&gt;0,_xlfn.NUMBERVALUE($H105&amp;" "),0)</f>
        <v>0</v>
      </c>
      <c r="AP105" s="79">
        <f t="shared" ref="AP105:AR174" si="13">IF(AO105&gt;0,16,0)</f>
        <v>0</v>
      </c>
      <c r="AQ105" s="79">
        <f t="shared" si="12"/>
        <v>0</v>
      </c>
      <c r="AR105" s="79">
        <f t="shared" si="13"/>
        <v>0</v>
      </c>
      <c r="AS105" s="79">
        <f t="shared" ref="AS105:AS174" si="14">IF(IFERROR(FIND(AS$94,$B105),0)&gt;0,_xlfn.NUMBERVALUE($H105&amp;" "),0)</f>
        <v>0</v>
      </c>
      <c r="AT105" s="79">
        <f t="shared" ref="AT105:AT174" si="15">IF(AS105&gt;0,16,0)</f>
        <v>0</v>
      </c>
      <c r="AU105" s="79">
        <f t="shared" ref="AU105:AU174" si="16">IF(IFERROR(FIND(AU$94,$B105),0)&gt;0,_xlfn.NUMBERVALUE($H105&amp;" "),0)</f>
        <v>0</v>
      </c>
      <c r="AV105" s="79">
        <f t="shared" ref="AV105:AV174" si="17">IF(AU105&gt;0,16,0)</f>
        <v>0</v>
      </c>
      <c r="AW105" s="79">
        <f t="shared" ref="AW105:AW174" si="18">IF(IFERROR(FIND(AW$94,$B105),0)&gt;0,_xlfn.NUMBERVALUE($H105&amp;" "),0)</f>
        <v>0</v>
      </c>
      <c r="AX105" s="79">
        <f t="shared" ref="AX105:AX174" si="19">IF(AW105&gt;0,16,0)</f>
        <v>0</v>
      </c>
      <c r="AY105" s="79">
        <f t="shared" ref="AY105:AY174" si="20">IF(IFERROR(FIND(AY$94,$B105),0)&gt;0,_xlfn.NUMBERVALUE($J105&amp;" "),0)</f>
        <v>0</v>
      </c>
      <c r="AZ105" s="79">
        <f t="shared" ref="AZ105:AZ174" si="21">IF(AY105&gt;0,16,0)</f>
        <v>0</v>
      </c>
      <c r="BA105" s="79">
        <f t="shared" ref="BA105:BC174" si="22">IF(IFERROR(FIND(BA$94,$B105),0)&gt;0,_xlfn.NUMBERVALUE($J105&amp;" "),0)</f>
        <v>0</v>
      </c>
      <c r="BB105" s="79">
        <f t="shared" ref="BB105:BD174" si="23">IF(BA105&gt;0,16,0)</f>
        <v>0</v>
      </c>
      <c r="BC105" s="79">
        <f t="shared" si="22"/>
        <v>0</v>
      </c>
      <c r="BD105" s="79">
        <f t="shared" si="23"/>
        <v>0</v>
      </c>
      <c r="BE105" s="79">
        <f t="shared" ref="BE105:BE174" si="24">IF(IFERROR(FIND(BE$94,$B105),0)&gt;0,_xlfn.NUMBERVALUE($J105&amp;" "),0)</f>
        <v>0</v>
      </c>
      <c r="BF105" s="79">
        <f t="shared" ref="BF105:BF174" si="25">IF(BE105&gt;0,16,0)</f>
        <v>0</v>
      </c>
      <c r="BG105" s="79">
        <f t="shared" ref="BG105:BG174" si="26">IF(IFERROR(FIND(BG$94,$B105),0)&gt;0,_xlfn.NUMBERVALUE($J105&amp;" "),0)</f>
        <v>0</v>
      </c>
      <c r="BH105" s="79">
        <f t="shared" ref="BH105:BH174" si="27">IF(BG105&gt;0,16,0)</f>
        <v>0</v>
      </c>
      <c r="BI105" s="79">
        <f t="shared" ref="BI105:BI174" si="28">IF(IFERROR(FIND(BI$94,$B105),0)&gt;0,_xlfn.NUMBERVALUE($J105&amp;" "),0)</f>
        <v>0</v>
      </c>
      <c r="BJ105" s="79">
        <f t="shared" ref="BJ105:BJ174" si="29">IF(BI105&gt;0,16,0)</f>
        <v>0</v>
      </c>
      <c r="BK105" s="56"/>
      <c r="BL105" s="56"/>
    </row>
    <row r="106" spans="1:64" ht="69" x14ac:dyDescent="0.3">
      <c r="A106" s="12">
        <f>IF(ISBLANK($C106),"",MAX($A$95:$A105)+0.01)</f>
        <v>4.0299999999999994</v>
      </c>
      <c r="B106" s="65" t="s">
        <v>1442</v>
      </c>
      <c r="C106" s="66" t="s">
        <v>1464</v>
      </c>
      <c r="D106" s="44"/>
      <c r="E106" s="45" t="s">
        <v>91</v>
      </c>
      <c r="F106" s="44"/>
      <c r="G106" s="45"/>
      <c r="H106" s="46" t="str">
        <f t="shared" si="0"/>
        <v/>
      </c>
      <c r="I106" s="45"/>
      <c r="J106" s="46" t="str">
        <f t="shared" si="1"/>
        <v/>
      </c>
      <c r="K106" s="45"/>
      <c r="L106" s="46" t="str">
        <f t="shared" si="2"/>
        <v/>
      </c>
      <c r="M106" s="45"/>
      <c r="N106" s="46" t="str">
        <f t="shared" si="3"/>
        <v/>
      </c>
      <c r="O106" s="44"/>
      <c r="P106" s="45"/>
      <c r="Q106" s="50" t="str">
        <f t="shared" si="4"/>
        <v/>
      </c>
      <c r="R106" s="53" t="str">
        <f t="shared" si="5"/>
        <v>Wahl treffen</v>
      </c>
      <c r="S106" s="43"/>
      <c r="T106" s="43"/>
      <c r="U106" s="43"/>
      <c r="W106" s="37">
        <v>0</v>
      </c>
      <c r="X106" s="37">
        <v>0</v>
      </c>
      <c r="Y106" s="37">
        <v>0</v>
      </c>
      <c r="Z106" s="37">
        <v>0</v>
      </c>
      <c r="AA106" s="37">
        <v>0</v>
      </c>
      <c r="AB106" s="38">
        <v>0</v>
      </c>
      <c r="AC106" s="38">
        <v>0</v>
      </c>
      <c r="AD106" s="38">
        <v>0</v>
      </c>
      <c r="AE106" s="38">
        <v>0</v>
      </c>
      <c r="AF106" s="38">
        <v>0</v>
      </c>
      <c r="AG106" s="36">
        <f t="shared" si="7"/>
        <v>0</v>
      </c>
      <c r="AI106" s="79">
        <f>IFERROR(IFERROR($H106,0)+IFERROR($J106,0)+IFERROR($L106,0)+IFERROR($N106,0),0)</f>
        <v>0</v>
      </c>
      <c r="AJ106" s="79">
        <f t="shared" ref="AJ106:AJ120" si="30">IF($AI106=0,0,4*16)</f>
        <v>0</v>
      </c>
      <c r="AK106" s="79">
        <f t="shared" si="8"/>
        <v>0</v>
      </c>
      <c r="AL106" s="79">
        <f t="shared" si="9"/>
        <v>0</v>
      </c>
      <c r="AM106" s="79">
        <f t="shared" si="10"/>
        <v>0</v>
      </c>
      <c r="AN106" s="79">
        <f t="shared" si="11"/>
        <v>0</v>
      </c>
      <c r="AO106" s="79">
        <f t="shared" si="12"/>
        <v>0</v>
      </c>
      <c r="AP106" s="79">
        <f t="shared" si="13"/>
        <v>0</v>
      </c>
      <c r="AQ106" s="79">
        <f t="shared" si="12"/>
        <v>0</v>
      </c>
      <c r="AR106" s="79">
        <f t="shared" si="13"/>
        <v>0</v>
      </c>
      <c r="AS106" s="79">
        <f t="shared" si="14"/>
        <v>0</v>
      </c>
      <c r="AT106" s="79">
        <f t="shared" si="15"/>
        <v>0</v>
      </c>
      <c r="AU106" s="79">
        <f t="shared" si="16"/>
        <v>0</v>
      </c>
      <c r="AV106" s="79">
        <f t="shared" si="17"/>
        <v>0</v>
      </c>
      <c r="AW106" s="79">
        <f t="shared" si="18"/>
        <v>0</v>
      </c>
      <c r="AX106" s="79">
        <f t="shared" si="19"/>
        <v>0</v>
      </c>
      <c r="AY106" s="79">
        <f t="shared" si="20"/>
        <v>0</v>
      </c>
      <c r="AZ106" s="79">
        <f t="shared" si="21"/>
        <v>0</v>
      </c>
      <c r="BA106" s="79">
        <f t="shared" si="22"/>
        <v>0</v>
      </c>
      <c r="BB106" s="79">
        <f t="shared" si="23"/>
        <v>0</v>
      </c>
      <c r="BC106" s="79">
        <f t="shared" si="22"/>
        <v>0</v>
      </c>
      <c r="BD106" s="79">
        <f t="shared" si="23"/>
        <v>0</v>
      </c>
      <c r="BE106" s="79">
        <f t="shared" si="24"/>
        <v>0</v>
      </c>
      <c r="BF106" s="79">
        <f t="shared" si="25"/>
        <v>0</v>
      </c>
      <c r="BG106" s="79">
        <f t="shared" si="26"/>
        <v>0</v>
      </c>
      <c r="BH106" s="79">
        <f t="shared" si="27"/>
        <v>0</v>
      </c>
      <c r="BI106" s="79">
        <f t="shared" si="28"/>
        <v>0</v>
      </c>
      <c r="BJ106" s="79">
        <f t="shared" si="29"/>
        <v>0</v>
      </c>
      <c r="BK106" s="56"/>
      <c r="BL106" s="56"/>
    </row>
    <row r="107" spans="1:64" ht="41.4" x14ac:dyDescent="0.3">
      <c r="A107" s="12">
        <f>IF(ISBLANK($C107),"",MAX($A$95:$A105)+0.01)</f>
        <v>4.0299999999999994</v>
      </c>
      <c r="B107" s="65" t="s">
        <v>1443</v>
      </c>
      <c r="C107" s="66" t="s">
        <v>1465</v>
      </c>
      <c r="D107" s="44"/>
      <c r="E107" s="45" t="s">
        <v>91</v>
      </c>
      <c r="F107" s="44"/>
      <c r="G107" s="45"/>
      <c r="H107" s="46" t="str">
        <f t="shared" si="0"/>
        <v/>
      </c>
      <c r="I107" s="45"/>
      <c r="J107" s="46" t="str">
        <f t="shared" si="1"/>
        <v/>
      </c>
      <c r="K107" s="45"/>
      <c r="L107" s="46" t="str">
        <f t="shared" si="2"/>
        <v/>
      </c>
      <c r="M107" s="45"/>
      <c r="N107" s="46" t="str">
        <f t="shared" si="3"/>
        <v/>
      </c>
      <c r="O107" s="44"/>
      <c r="P107" s="45"/>
      <c r="Q107" s="50" t="str">
        <f t="shared" si="4"/>
        <v/>
      </c>
      <c r="R107" s="53" t="str">
        <f t="shared" si="5"/>
        <v>Wahl treffen</v>
      </c>
      <c r="S107" s="43"/>
      <c r="T107" s="43"/>
      <c r="U107" s="43"/>
      <c r="W107" s="37">
        <v>0</v>
      </c>
      <c r="X107" s="37">
        <v>0</v>
      </c>
      <c r="Y107" s="37">
        <v>0</v>
      </c>
      <c r="Z107" s="37">
        <v>0</v>
      </c>
      <c r="AA107" s="37">
        <v>0</v>
      </c>
      <c r="AB107" s="38">
        <v>0</v>
      </c>
      <c r="AC107" s="38">
        <v>0</v>
      </c>
      <c r="AD107" s="38">
        <v>0</v>
      </c>
      <c r="AE107" s="38">
        <v>0</v>
      </c>
      <c r="AF107" s="38">
        <v>0</v>
      </c>
      <c r="AG107" s="36">
        <f t="shared" ref="AG107:AG117" si="31">IF($AG$100=5,SUM(AB107:AF107),IF($AG$100=4,SUM(AB107:AE107),IF($AG$100=3,SUM(AB107:AD107),IF($AG$100=2,SUM(AB107:AC107),AB107))))/$AG$100</f>
        <v>0</v>
      </c>
      <c r="AI107" s="79">
        <f>IFERROR(IFERROR($H107,0)+IFERROR($J107,0)+IFERROR($L107,0)+IFERROR($N107,0),0)</f>
        <v>0</v>
      </c>
      <c r="AJ107" s="79">
        <f t="shared" si="30"/>
        <v>0</v>
      </c>
      <c r="AK107" s="79">
        <f t="shared" si="8"/>
        <v>0</v>
      </c>
      <c r="AL107" s="79">
        <f t="shared" si="9"/>
        <v>0</v>
      </c>
      <c r="AM107" s="79">
        <f t="shared" si="10"/>
        <v>0</v>
      </c>
      <c r="AN107" s="79">
        <f t="shared" si="11"/>
        <v>0</v>
      </c>
      <c r="AO107" s="79">
        <f t="shared" si="12"/>
        <v>0</v>
      </c>
      <c r="AP107" s="79">
        <f t="shared" si="13"/>
        <v>0</v>
      </c>
      <c r="AQ107" s="79">
        <f t="shared" si="12"/>
        <v>0</v>
      </c>
      <c r="AR107" s="79">
        <f t="shared" si="13"/>
        <v>0</v>
      </c>
      <c r="AS107" s="79">
        <f t="shared" si="14"/>
        <v>0</v>
      </c>
      <c r="AT107" s="79">
        <f t="shared" si="15"/>
        <v>0</v>
      </c>
      <c r="AU107" s="79">
        <f t="shared" si="16"/>
        <v>0</v>
      </c>
      <c r="AV107" s="79">
        <f t="shared" si="17"/>
        <v>0</v>
      </c>
      <c r="AW107" s="79">
        <f t="shared" si="18"/>
        <v>0</v>
      </c>
      <c r="AX107" s="79">
        <f t="shared" si="19"/>
        <v>0</v>
      </c>
      <c r="AY107" s="79">
        <f t="shared" si="20"/>
        <v>0</v>
      </c>
      <c r="AZ107" s="79">
        <f t="shared" si="21"/>
        <v>0</v>
      </c>
      <c r="BA107" s="79">
        <f t="shared" si="22"/>
        <v>0</v>
      </c>
      <c r="BB107" s="79">
        <f t="shared" si="23"/>
        <v>0</v>
      </c>
      <c r="BC107" s="79">
        <f t="shared" si="22"/>
        <v>0</v>
      </c>
      <c r="BD107" s="79">
        <f t="shared" si="23"/>
        <v>0</v>
      </c>
      <c r="BE107" s="79">
        <f t="shared" si="24"/>
        <v>0</v>
      </c>
      <c r="BF107" s="79">
        <f t="shared" si="25"/>
        <v>0</v>
      </c>
      <c r="BG107" s="79">
        <f t="shared" si="26"/>
        <v>0</v>
      </c>
      <c r="BH107" s="79">
        <f t="shared" si="27"/>
        <v>0</v>
      </c>
      <c r="BI107" s="79">
        <f t="shared" si="28"/>
        <v>0</v>
      </c>
      <c r="BJ107" s="79">
        <f t="shared" si="29"/>
        <v>0</v>
      </c>
      <c r="BK107" s="56"/>
      <c r="BL107" s="56"/>
    </row>
    <row r="108" spans="1:64" ht="41.4" x14ac:dyDescent="0.3">
      <c r="A108" s="12">
        <f>IF(ISBLANK($C108),"",MAX($A$95:$A106)+0.01)</f>
        <v>4.0399999999999991</v>
      </c>
      <c r="B108" s="65" t="s">
        <v>1443</v>
      </c>
      <c r="C108" s="66" t="s">
        <v>1466</v>
      </c>
      <c r="D108" s="44"/>
      <c r="E108" s="45" t="s">
        <v>91</v>
      </c>
      <c r="F108" s="44"/>
      <c r="G108" s="45"/>
      <c r="H108" s="46" t="str">
        <f t="shared" si="0"/>
        <v/>
      </c>
      <c r="I108" s="45"/>
      <c r="J108" s="46" t="str">
        <f t="shared" si="1"/>
        <v/>
      </c>
      <c r="K108" s="45"/>
      <c r="L108" s="46" t="str">
        <f t="shared" si="2"/>
        <v/>
      </c>
      <c r="M108" s="45"/>
      <c r="N108" s="46" t="str">
        <f t="shared" si="3"/>
        <v/>
      </c>
      <c r="O108" s="44"/>
      <c r="P108" s="45"/>
      <c r="Q108" s="50" t="str">
        <f t="shared" si="4"/>
        <v/>
      </c>
      <c r="R108" s="53" t="str">
        <f t="shared" si="5"/>
        <v>Wahl treffen</v>
      </c>
      <c r="S108" s="43"/>
      <c r="T108" s="43"/>
      <c r="U108" s="43"/>
      <c r="W108" s="37">
        <v>0</v>
      </c>
      <c r="X108" s="37">
        <v>0</v>
      </c>
      <c r="Y108" s="37">
        <v>0</v>
      </c>
      <c r="Z108" s="37">
        <v>0</v>
      </c>
      <c r="AA108" s="37">
        <v>0</v>
      </c>
      <c r="AB108" s="38">
        <v>0</v>
      </c>
      <c r="AC108" s="38">
        <v>0</v>
      </c>
      <c r="AD108" s="38">
        <v>0</v>
      </c>
      <c r="AE108" s="38">
        <v>0</v>
      </c>
      <c r="AF108" s="38">
        <v>0</v>
      </c>
      <c r="AG108" s="36">
        <f t="shared" si="31"/>
        <v>0</v>
      </c>
      <c r="AI108" s="79">
        <f>IFERROR(IFERROR($H108,0)+IFERROR($J108,0)+IFERROR($L108,0)+IFERROR($N108,0),0)</f>
        <v>0</v>
      </c>
      <c r="AJ108" s="79">
        <f t="shared" si="30"/>
        <v>0</v>
      </c>
      <c r="AK108" s="79">
        <f t="shared" si="8"/>
        <v>0</v>
      </c>
      <c r="AL108" s="79">
        <f t="shared" si="9"/>
        <v>0</v>
      </c>
      <c r="AM108" s="79">
        <f t="shared" si="10"/>
        <v>0</v>
      </c>
      <c r="AN108" s="79">
        <f t="shared" si="11"/>
        <v>0</v>
      </c>
      <c r="AO108" s="79">
        <f t="shared" si="12"/>
        <v>0</v>
      </c>
      <c r="AP108" s="79">
        <f t="shared" si="13"/>
        <v>0</v>
      </c>
      <c r="AQ108" s="79">
        <f t="shared" si="12"/>
        <v>0</v>
      </c>
      <c r="AR108" s="79">
        <f t="shared" si="13"/>
        <v>0</v>
      </c>
      <c r="AS108" s="79">
        <f t="shared" si="14"/>
        <v>0</v>
      </c>
      <c r="AT108" s="79">
        <f t="shared" si="15"/>
        <v>0</v>
      </c>
      <c r="AU108" s="79">
        <f t="shared" si="16"/>
        <v>0</v>
      </c>
      <c r="AV108" s="79">
        <f t="shared" si="17"/>
        <v>0</v>
      </c>
      <c r="AW108" s="79">
        <f t="shared" si="18"/>
        <v>0</v>
      </c>
      <c r="AX108" s="79">
        <f t="shared" si="19"/>
        <v>0</v>
      </c>
      <c r="AY108" s="79">
        <f t="shared" si="20"/>
        <v>0</v>
      </c>
      <c r="AZ108" s="79">
        <f t="shared" si="21"/>
        <v>0</v>
      </c>
      <c r="BA108" s="79">
        <f t="shared" si="22"/>
        <v>0</v>
      </c>
      <c r="BB108" s="79">
        <f t="shared" si="23"/>
        <v>0</v>
      </c>
      <c r="BC108" s="79">
        <f t="shared" si="22"/>
        <v>0</v>
      </c>
      <c r="BD108" s="79">
        <f t="shared" si="23"/>
        <v>0</v>
      </c>
      <c r="BE108" s="79">
        <f t="shared" si="24"/>
        <v>0</v>
      </c>
      <c r="BF108" s="79">
        <f t="shared" si="25"/>
        <v>0</v>
      </c>
      <c r="BG108" s="79">
        <f t="shared" si="26"/>
        <v>0</v>
      </c>
      <c r="BH108" s="79">
        <f t="shared" si="27"/>
        <v>0</v>
      </c>
      <c r="BI108" s="79">
        <f t="shared" si="28"/>
        <v>0</v>
      </c>
      <c r="BJ108" s="79">
        <f t="shared" si="29"/>
        <v>0</v>
      </c>
      <c r="BK108" s="56"/>
      <c r="BL108" s="56"/>
    </row>
    <row r="109" spans="1:64" ht="55.2" x14ac:dyDescent="0.3">
      <c r="A109" s="12">
        <f>IF(ISBLANK($C109),"",MAX($A$95:$A108)+0.01)</f>
        <v>4.0499999999999989</v>
      </c>
      <c r="B109" s="65" t="s">
        <v>1444</v>
      </c>
      <c r="C109" s="66" t="s">
        <v>1467</v>
      </c>
      <c r="D109" s="44"/>
      <c r="E109" s="45" t="s">
        <v>91</v>
      </c>
      <c r="F109" s="44"/>
      <c r="G109" s="45"/>
      <c r="H109" s="46" t="str">
        <f t="shared" si="0"/>
        <v/>
      </c>
      <c r="I109" s="45"/>
      <c r="J109" s="46" t="str">
        <f t="shared" si="1"/>
        <v/>
      </c>
      <c r="K109" s="45"/>
      <c r="L109" s="46" t="str">
        <f t="shared" si="2"/>
        <v/>
      </c>
      <c r="M109" s="45"/>
      <c r="N109" s="46" t="str">
        <f t="shared" si="3"/>
        <v/>
      </c>
      <c r="O109" s="44"/>
      <c r="P109" s="45"/>
      <c r="Q109" s="50" t="str">
        <f t="shared" si="4"/>
        <v/>
      </c>
      <c r="R109" s="53" t="str">
        <f t="shared" si="5"/>
        <v>Wahl treffen</v>
      </c>
      <c r="S109" s="43"/>
      <c r="T109" s="43"/>
      <c r="U109" s="43"/>
      <c r="W109" s="37">
        <v>0</v>
      </c>
      <c r="X109" s="37">
        <v>0</v>
      </c>
      <c r="Y109" s="37">
        <v>0</v>
      </c>
      <c r="Z109" s="37">
        <v>0</v>
      </c>
      <c r="AA109" s="37">
        <v>0</v>
      </c>
      <c r="AB109" s="38">
        <v>0</v>
      </c>
      <c r="AC109" s="38">
        <v>0</v>
      </c>
      <c r="AD109" s="38">
        <v>0</v>
      </c>
      <c r="AE109" s="38">
        <v>0</v>
      </c>
      <c r="AF109" s="38">
        <v>0</v>
      </c>
      <c r="AG109" s="36">
        <f t="shared" si="31"/>
        <v>0</v>
      </c>
      <c r="AI109" s="79">
        <f t="shared" ref="AI109:AI120" si="32">IFERROR(IFERROR($H109,0)+IFERROR($J109,0)+IFERROR($L109,0)+IFERROR($N109,0),0)</f>
        <v>0</v>
      </c>
      <c r="AJ109" s="79">
        <f t="shared" si="30"/>
        <v>0</v>
      </c>
      <c r="AK109" s="79">
        <f t="shared" si="8"/>
        <v>0</v>
      </c>
      <c r="AL109" s="79">
        <f t="shared" si="9"/>
        <v>0</v>
      </c>
      <c r="AM109" s="79">
        <f t="shared" si="10"/>
        <v>0</v>
      </c>
      <c r="AN109" s="79">
        <f t="shared" si="11"/>
        <v>0</v>
      </c>
      <c r="AO109" s="79">
        <f t="shared" si="12"/>
        <v>0</v>
      </c>
      <c r="AP109" s="79">
        <f t="shared" si="13"/>
        <v>0</v>
      </c>
      <c r="AQ109" s="79">
        <f t="shared" si="12"/>
        <v>0</v>
      </c>
      <c r="AR109" s="79">
        <f t="shared" si="13"/>
        <v>0</v>
      </c>
      <c r="AS109" s="79">
        <f t="shared" si="14"/>
        <v>0</v>
      </c>
      <c r="AT109" s="79">
        <f t="shared" si="15"/>
        <v>0</v>
      </c>
      <c r="AU109" s="79">
        <f t="shared" si="16"/>
        <v>0</v>
      </c>
      <c r="AV109" s="79">
        <f t="shared" si="17"/>
        <v>0</v>
      </c>
      <c r="AW109" s="79">
        <f t="shared" si="18"/>
        <v>0</v>
      </c>
      <c r="AX109" s="79">
        <f t="shared" si="19"/>
        <v>0</v>
      </c>
      <c r="AY109" s="79">
        <f t="shared" si="20"/>
        <v>0</v>
      </c>
      <c r="AZ109" s="79">
        <f t="shared" si="21"/>
        <v>0</v>
      </c>
      <c r="BA109" s="79">
        <f t="shared" si="22"/>
        <v>0</v>
      </c>
      <c r="BB109" s="79">
        <f t="shared" si="23"/>
        <v>0</v>
      </c>
      <c r="BC109" s="79">
        <f t="shared" si="22"/>
        <v>0</v>
      </c>
      <c r="BD109" s="79">
        <f t="shared" si="23"/>
        <v>0</v>
      </c>
      <c r="BE109" s="79">
        <f t="shared" si="24"/>
        <v>0</v>
      </c>
      <c r="BF109" s="79">
        <f t="shared" si="25"/>
        <v>0</v>
      </c>
      <c r="BG109" s="79">
        <f t="shared" si="26"/>
        <v>0</v>
      </c>
      <c r="BH109" s="79">
        <f t="shared" si="27"/>
        <v>0</v>
      </c>
      <c r="BI109" s="79">
        <f t="shared" si="28"/>
        <v>0</v>
      </c>
      <c r="BJ109" s="79">
        <f t="shared" si="29"/>
        <v>0</v>
      </c>
      <c r="BK109" s="56"/>
      <c r="BL109" s="56"/>
    </row>
    <row r="110" spans="1:64" ht="41.4" x14ac:dyDescent="0.3">
      <c r="A110" s="12">
        <f>IF(ISBLANK($C110),"",MAX($A$95:$A109)+0.01)</f>
        <v>4.0599999999999987</v>
      </c>
      <c r="B110" s="65" t="s">
        <v>1445</v>
      </c>
      <c r="C110" s="66" t="s">
        <v>1460</v>
      </c>
      <c r="D110" s="44"/>
      <c r="E110" s="45" t="s">
        <v>91</v>
      </c>
      <c r="F110" s="44"/>
      <c r="G110" s="45"/>
      <c r="H110" s="46" t="str">
        <f t="shared" si="0"/>
        <v/>
      </c>
      <c r="I110" s="45"/>
      <c r="J110" s="46" t="str">
        <f t="shared" si="1"/>
        <v/>
      </c>
      <c r="K110" s="45"/>
      <c r="L110" s="46" t="str">
        <f t="shared" si="2"/>
        <v/>
      </c>
      <c r="M110" s="45"/>
      <c r="N110" s="46" t="str">
        <f t="shared" si="3"/>
        <v/>
      </c>
      <c r="O110" s="44"/>
      <c r="P110" s="45"/>
      <c r="Q110" s="50" t="str">
        <f t="shared" si="4"/>
        <v/>
      </c>
      <c r="R110" s="53" t="str">
        <f t="shared" si="5"/>
        <v/>
      </c>
      <c r="S110" s="43"/>
      <c r="T110" s="43"/>
      <c r="U110" s="43"/>
      <c r="W110" s="37">
        <v>0</v>
      </c>
      <c r="X110" s="37">
        <v>0</v>
      </c>
      <c r="Y110" s="37">
        <v>0</v>
      </c>
      <c r="Z110" s="37">
        <v>0</v>
      </c>
      <c r="AA110" s="37">
        <v>0</v>
      </c>
      <c r="AB110" s="38">
        <v>0</v>
      </c>
      <c r="AC110" s="38">
        <v>0</v>
      </c>
      <c r="AD110" s="38">
        <v>0</v>
      </c>
      <c r="AE110" s="38">
        <v>0</v>
      </c>
      <c r="AF110" s="38">
        <v>0</v>
      </c>
      <c r="AG110" s="36">
        <f t="shared" si="31"/>
        <v>0</v>
      </c>
      <c r="AI110" s="79">
        <f t="shared" si="32"/>
        <v>0</v>
      </c>
      <c r="AJ110" s="79">
        <f t="shared" si="30"/>
        <v>0</v>
      </c>
      <c r="AK110" s="79">
        <f t="shared" si="8"/>
        <v>0</v>
      </c>
      <c r="AL110" s="79">
        <f t="shared" si="9"/>
        <v>0</v>
      </c>
      <c r="AM110" s="79">
        <f t="shared" si="10"/>
        <v>0</v>
      </c>
      <c r="AN110" s="79">
        <f t="shared" si="11"/>
        <v>0</v>
      </c>
      <c r="AO110" s="79">
        <f t="shared" si="12"/>
        <v>0</v>
      </c>
      <c r="AP110" s="79">
        <f t="shared" si="13"/>
        <v>0</v>
      </c>
      <c r="AQ110" s="79">
        <f t="shared" si="12"/>
        <v>0</v>
      </c>
      <c r="AR110" s="79">
        <f t="shared" si="13"/>
        <v>0</v>
      </c>
      <c r="AS110" s="79">
        <f t="shared" si="14"/>
        <v>0</v>
      </c>
      <c r="AT110" s="79">
        <f t="shared" si="15"/>
        <v>0</v>
      </c>
      <c r="AU110" s="79">
        <f t="shared" si="16"/>
        <v>0</v>
      </c>
      <c r="AV110" s="79">
        <f t="shared" si="17"/>
        <v>0</v>
      </c>
      <c r="AW110" s="79">
        <f t="shared" si="18"/>
        <v>0</v>
      </c>
      <c r="AX110" s="79">
        <f t="shared" si="19"/>
        <v>0</v>
      </c>
      <c r="AY110" s="79">
        <f t="shared" si="20"/>
        <v>0</v>
      </c>
      <c r="AZ110" s="79">
        <f t="shared" si="21"/>
        <v>0</v>
      </c>
      <c r="BA110" s="79">
        <f t="shared" si="22"/>
        <v>0</v>
      </c>
      <c r="BB110" s="79">
        <f t="shared" si="23"/>
        <v>0</v>
      </c>
      <c r="BC110" s="79">
        <f t="shared" si="22"/>
        <v>0</v>
      </c>
      <c r="BD110" s="79">
        <f t="shared" si="23"/>
        <v>0</v>
      </c>
      <c r="BE110" s="79">
        <f t="shared" si="24"/>
        <v>0</v>
      </c>
      <c r="BF110" s="79">
        <f t="shared" si="25"/>
        <v>0</v>
      </c>
      <c r="BG110" s="79">
        <f t="shared" si="26"/>
        <v>0</v>
      </c>
      <c r="BH110" s="79">
        <f t="shared" si="27"/>
        <v>0</v>
      </c>
      <c r="BI110" s="79">
        <f t="shared" si="28"/>
        <v>0</v>
      </c>
      <c r="BJ110" s="79">
        <f t="shared" si="29"/>
        <v>0</v>
      </c>
      <c r="BK110" s="56"/>
      <c r="BL110" s="56"/>
    </row>
    <row r="111" spans="1:64" ht="27.6" x14ac:dyDescent="0.3">
      <c r="A111" s="12">
        <f>IF(ISBLANK($C111),"",MAX($A$95:$A110)+0.01)</f>
        <v>4.0699999999999985</v>
      </c>
      <c r="B111" s="65" t="s">
        <v>1445</v>
      </c>
      <c r="C111" s="66" t="s">
        <v>1468</v>
      </c>
      <c r="D111" s="44"/>
      <c r="E111" s="45" t="s">
        <v>91</v>
      </c>
      <c r="F111" s="44"/>
      <c r="G111" s="45"/>
      <c r="H111" s="46" t="str">
        <f t="shared" si="0"/>
        <v/>
      </c>
      <c r="I111" s="45"/>
      <c r="J111" s="46" t="str">
        <f t="shared" si="1"/>
        <v/>
      </c>
      <c r="K111" s="45"/>
      <c r="L111" s="46" t="str">
        <f t="shared" si="2"/>
        <v/>
      </c>
      <c r="M111" s="45"/>
      <c r="N111" s="46" t="str">
        <f t="shared" si="3"/>
        <v/>
      </c>
      <c r="O111" s="44"/>
      <c r="P111" s="45"/>
      <c r="Q111" s="50" t="str">
        <f t="shared" si="4"/>
        <v/>
      </c>
      <c r="R111" s="53" t="str">
        <f t="shared" si="5"/>
        <v/>
      </c>
      <c r="S111" s="43"/>
      <c r="T111" s="43"/>
      <c r="U111" s="43"/>
      <c r="W111" s="37">
        <v>0</v>
      </c>
      <c r="X111" s="37">
        <v>0</v>
      </c>
      <c r="Y111" s="37">
        <v>0</v>
      </c>
      <c r="Z111" s="37">
        <v>0</v>
      </c>
      <c r="AA111" s="37">
        <v>0</v>
      </c>
      <c r="AB111" s="38">
        <v>0</v>
      </c>
      <c r="AC111" s="38">
        <v>0</v>
      </c>
      <c r="AD111" s="38">
        <v>0</v>
      </c>
      <c r="AE111" s="38">
        <v>0</v>
      </c>
      <c r="AF111" s="38">
        <v>0</v>
      </c>
      <c r="AG111" s="36">
        <f t="shared" si="31"/>
        <v>0</v>
      </c>
      <c r="AI111" s="79">
        <f t="shared" si="32"/>
        <v>0</v>
      </c>
      <c r="AJ111" s="79">
        <f t="shared" si="30"/>
        <v>0</v>
      </c>
      <c r="AK111" s="79">
        <f t="shared" si="8"/>
        <v>0</v>
      </c>
      <c r="AL111" s="79">
        <f t="shared" si="9"/>
        <v>0</v>
      </c>
      <c r="AM111" s="79">
        <f t="shared" si="10"/>
        <v>0</v>
      </c>
      <c r="AN111" s="79">
        <f t="shared" si="11"/>
        <v>0</v>
      </c>
      <c r="AO111" s="79">
        <f t="shared" si="12"/>
        <v>0</v>
      </c>
      <c r="AP111" s="79">
        <f t="shared" si="13"/>
        <v>0</v>
      </c>
      <c r="AQ111" s="79">
        <f t="shared" si="12"/>
        <v>0</v>
      </c>
      <c r="AR111" s="79">
        <f t="shared" si="13"/>
        <v>0</v>
      </c>
      <c r="AS111" s="79">
        <f t="shared" si="14"/>
        <v>0</v>
      </c>
      <c r="AT111" s="79">
        <f t="shared" si="15"/>
        <v>0</v>
      </c>
      <c r="AU111" s="79">
        <f t="shared" si="16"/>
        <v>0</v>
      </c>
      <c r="AV111" s="79">
        <f t="shared" si="17"/>
        <v>0</v>
      </c>
      <c r="AW111" s="79">
        <f t="shared" si="18"/>
        <v>0</v>
      </c>
      <c r="AX111" s="79">
        <f t="shared" si="19"/>
        <v>0</v>
      </c>
      <c r="AY111" s="79">
        <f t="shared" si="20"/>
        <v>0</v>
      </c>
      <c r="AZ111" s="79">
        <f t="shared" si="21"/>
        <v>0</v>
      </c>
      <c r="BA111" s="79">
        <f t="shared" si="22"/>
        <v>0</v>
      </c>
      <c r="BB111" s="79">
        <f t="shared" si="23"/>
        <v>0</v>
      </c>
      <c r="BC111" s="79">
        <f t="shared" si="22"/>
        <v>0</v>
      </c>
      <c r="BD111" s="79">
        <f t="shared" si="23"/>
        <v>0</v>
      </c>
      <c r="BE111" s="79">
        <f t="shared" si="24"/>
        <v>0</v>
      </c>
      <c r="BF111" s="79">
        <f t="shared" si="25"/>
        <v>0</v>
      </c>
      <c r="BG111" s="79">
        <f t="shared" si="26"/>
        <v>0</v>
      </c>
      <c r="BH111" s="79">
        <f t="shared" si="27"/>
        <v>0</v>
      </c>
      <c r="BI111" s="79">
        <f t="shared" si="28"/>
        <v>0</v>
      </c>
      <c r="BJ111" s="79">
        <f t="shared" si="29"/>
        <v>0</v>
      </c>
      <c r="BK111" s="56"/>
      <c r="BL111" s="56"/>
    </row>
    <row r="112" spans="1:64" ht="69" x14ac:dyDescent="0.3">
      <c r="A112" s="12">
        <f>IF(ISBLANK($C112),"",MAX($A$95:$A111)+0.01)</f>
        <v>4.0799999999999983</v>
      </c>
      <c r="B112" s="65" t="s">
        <v>1445</v>
      </c>
      <c r="C112" s="66" t="s">
        <v>1469</v>
      </c>
      <c r="D112" s="44"/>
      <c r="E112" s="45" t="s">
        <v>91</v>
      </c>
      <c r="F112" s="44"/>
      <c r="G112" s="45"/>
      <c r="H112" s="46" t="str">
        <f t="shared" si="0"/>
        <v/>
      </c>
      <c r="I112" s="45"/>
      <c r="J112" s="46" t="str">
        <f t="shared" si="1"/>
        <v/>
      </c>
      <c r="K112" s="45"/>
      <c r="L112" s="46" t="str">
        <f t="shared" si="2"/>
        <v/>
      </c>
      <c r="M112" s="45"/>
      <c r="N112" s="46" t="str">
        <f t="shared" si="3"/>
        <v/>
      </c>
      <c r="O112" s="44"/>
      <c r="P112" s="45"/>
      <c r="Q112" s="50" t="str">
        <f t="shared" si="4"/>
        <v/>
      </c>
      <c r="R112" s="53" t="str">
        <f t="shared" si="5"/>
        <v/>
      </c>
      <c r="S112" s="43"/>
      <c r="T112" s="43"/>
      <c r="U112" s="43"/>
      <c r="W112" s="37">
        <v>0</v>
      </c>
      <c r="X112" s="37">
        <v>0</v>
      </c>
      <c r="Y112" s="37">
        <v>0</v>
      </c>
      <c r="Z112" s="37">
        <v>0</v>
      </c>
      <c r="AA112" s="37">
        <v>0</v>
      </c>
      <c r="AB112" s="38">
        <v>0</v>
      </c>
      <c r="AC112" s="38">
        <v>0</v>
      </c>
      <c r="AD112" s="38">
        <v>0</v>
      </c>
      <c r="AE112" s="38">
        <v>0</v>
      </c>
      <c r="AF112" s="38">
        <v>0</v>
      </c>
      <c r="AG112" s="36">
        <f t="shared" si="31"/>
        <v>0</v>
      </c>
      <c r="AI112" s="79">
        <f t="shared" si="32"/>
        <v>0</v>
      </c>
      <c r="AJ112" s="79">
        <f t="shared" si="30"/>
        <v>0</v>
      </c>
      <c r="AK112" s="79">
        <f t="shared" si="8"/>
        <v>0</v>
      </c>
      <c r="AL112" s="79">
        <f t="shared" si="9"/>
        <v>0</v>
      </c>
      <c r="AM112" s="79">
        <f t="shared" si="10"/>
        <v>0</v>
      </c>
      <c r="AN112" s="79">
        <f t="shared" si="11"/>
        <v>0</v>
      </c>
      <c r="AO112" s="79">
        <f t="shared" si="12"/>
        <v>0</v>
      </c>
      <c r="AP112" s="79">
        <f t="shared" si="13"/>
        <v>0</v>
      </c>
      <c r="AQ112" s="79">
        <f t="shared" si="12"/>
        <v>0</v>
      </c>
      <c r="AR112" s="79">
        <f t="shared" si="13"/>
        <v>0</v>
      </c>
      <c r="AS112" s="79">
        <f t="shared" si="14"/>
        <v>0</v>
      </c>
      <c r="AT112" s="79">
        <f t="shared" si="15"/>
        <v>0</v>
      </c>
      <c r="AU112" s="79">
        <f t="shared" si="16"/>
        <v>0</v>
      </c>
      <c r="AV112" s="79">
        <f t="shared" si="17"/>
        <v>0</v>
      </c>
      <c r="AW112" s="79">
        <f t="shared" si="18"/>
        <v>0</v>
      </c>
      <c r="AX112" s="79">
        <f t="shared" si="19"/>
        <v>0</v>
      </c>
      <c r="AY112" s="79">
        <f t="shared" si="20"/>
        <v>0</v>
      </c>
      <c r="AZ112" s="79">
        <f t="shared" si="21"/>
        <v>0</v>
      </c>
      <c r="BA112" s="79">
        <f t="shared" si="22"/>
        <v>0</v>
      </c>
      <c r="BB112" s="79">
        <f t="shared" si="23"/>
        <v>0</v>
      </c>
      <c r="BC112" s="79">
        <f t="shared" si="22"/>
        <v>0</v>
      </c>
      <c r="BD112" s="79">
        <f t="shared" si="23"/>
        <v>0</v>
      </c>
      <c r="BE112" s="79">
        <f t="shared" si="24"/>
        <v>0</v>
      </c>
      <c r="BF112" s="79">
        <f t="shared" si="25"/>
        <v>0</v>
      </c>
      <c r="BG112" s="79">
        <f t="shared" si="26"/>
        <v>0</v>
      </c>
      <c r="BH112" s="79">
        <f t="shared" si="27"/>
        <v>0</v>
      </c>
      <c r="BI112" s="79">
        <f t="shared" si="28"/>
        <v>0</v>
      </c>
      <c r="BJ112" s="79">
        <f t="shared" si="29"/>
        <v>0</v>
      </c>
      <c r="BK112" s="56"/>
      <c r="BL112" s="56"/>
    </row>
    <row r="113" spans="1:64" ht="69" x14ac:dyDescent="0.3">
      <c r="A113" s="12">
        <f>IF(ISBLANK($C113),"",MAX($A$95:$A112)+0.01)</f>
        <v>4.0899999999999981</v>
      </c>
      <c r="B113" s="65" t="s">
        <v>1446</v>
      </c>
      <c r="C113" s="66" t="s">
        <v>1470</v>
      </c>
      <c r="D113" s="44"/>
      <c r="E113" s="45" t="s">
        <v>91</v>
      </c>
      <c r="F113" s="44"/>
      <c r="G113" s="45"/>
      <c r="H113" s="46" t="str">
        <f t="shared" si="0"/>
        <v/>
      </c>
      <c r="I113" s="45"/>
      <c r="J113" s="46" t="str">
        <f t="shared" si="1"/>
        <v/>
      </c>
      <c r="K113" s="45"/>
      <c r="L113" s="46" t="str">
        <f t="shared" si="2"/>
        <v/>
      </c>
      <c r="M113" s="45"/>
      <c r="N113" s="46" t="str">
        <f t="shared" si="3"/>
        <v/>
      </c>
      <c r="O113" s="44"/>
      <c r="P113" s="45"/>
      <c r="Q113" s="50" t="str">
        <f t="shared" si="4"/>
        <v/>
      </c>
      <c r="R113" s="53" t="str">
        <f t="shared" si="5"/>
        <v/>
      </c>
      <c r="S113" s="43"/>
      <c r="T113" s="43"/>
      <c r="U113" s="43"/>
      <c r="W113" s="37">
        <v>0</v>
      </c>
      <c r="X113" s="37">
        <v>0</v>
      </c>
      <c r="Y113" s="37">
        <v>0</v>
      </c>
      <c r="Z113" s="37">
        <v>0</v>
      </c>
      <c r="AA113" s="37">
        <v>0</v>
      </c>
      <c r="AB113" s="38">
        <v>0</v>
      </c>
      <c r="AC113" s="38">
        <v>0</v>
      </c>
      <c r="AD113" s="38">
        <v>0</v>
      </c>
      <c r="AE113" s="38">
        <v>0</v>
      </c>
      <c r="AF113" s="38">
        <v>0</v>
      </c>
      <c r="AG113" s="36">
        <f t="shared" si="31"/>
        <v>0</v>
      </c>
      <c r="AI113" s="79">
        <f t="shared" si="32"/>
        <v>0</v>
      </c>
      <c r="AJ113" s="79">
        <f t="shared" si="30"/>
        <v>0</v>
      </c>
      <c r="AK113" s="79">
        <f t="shared" si="8"/>
        <v>0</v>
      </c>
      <c r="AL113" s="79">
        <f t="shared" si="9"/>
        <v>0</v>
      </c>
      <c r="AM113" s="79">
        <f t="shared" si="10"/>
        <v>0</v>
      </c>
      <c r="AN113" s="79">
        <f t="shared" si="11"/>
        <v>0</v>
      </c>
      <c r="AO113" s="79">
        <f t="shared" si="12"/>
        <v>0</v>
      </c>
      <c r="AP113" s="79">
        <f t="shared" si="13"/>
        <v>0</v>
      </c>
      <c r="AQ113" s="79">
        <f t="shared" si="12"/>
        <v>0</v>
      </c>
      <c r="AR113" s="79">
        <f t="shared" si="13"/>
        <v>0</v>
      </c>
      <c r="AS113" s="79">
        <f t="shared" si="14"/>
        <v>0</v>
      </c>
      <c r="AT113" s="79">
        <f t="shared" si="15"/>
        <v>0</v>
      </c>
      <c r="AU113" s="79">
        <f t="shared" si="16"/>
        <v>0</v>
      </c>
      <c r="AV113" s="79">
        <f t="shared" si="17"/>
        <v>0</v>
      </c>
      <c r="AW113" s="79">
        <f t="shared" si="18"/>
        <v>0</v>
      </c>
      <c r="AX113" s="79">
        <f t="shared" si="19"/>
        <v>0</v>
      </c>
      <c r="AY113" s="79">
        <f t="shared" si="20"/>
        <v>0</v>
      </c>
      <c r="AZ113" s="79">
        <f t="shared" si="21"/>
        <v>0</v>
      </c>
      <c r="BA113" s="79">
        <f t="shared" si="22"/>
        <v>0</v>
      </c>
      <c r="BB113" s="79">
        <f t="shared" si="23"/>
        <v>0</v>
      </c>
      <c r="BC113" s="79">
        <f t="shared" si="22"/>
        <v>0</v>
      </c>
      <c r="BD113" s="79">
        <f t="shared" si="23"/>
        <v>0</v>
      </c>
      <c r="BE113" s="79">
        <f t="shared" si="24"/>
        <v>0</v>
      </c>
      <c r="BF113" s="79">
        <f t="shared" si="25"/>
        <v>0</v>
      </c>
      <c r="BG113" s="79">
        <f t="shared" si="26"/>
        <v>0</v>
      </c>
      <c r="BH113" s="79">
        <f t="shared" si="27"/>
        <v>0</v>
      </c>
      <c r="BI113" s="79">
        <f t="shared" si="28"/>
        <v>0</v>
      </c>
      <c r="BJ113" s="79">
        <f t="shared" si="29"/>
        <v>0</v>
      </c>
      <c r="BK113" s="56"/>
      <c r="BL113" s="56"/>
    </row>
    <row r="114" spans="1:64" ht="69" x14ac:dyDescent="0.3">
      <c r="A114" s="12">
        <f>IF(ISBLANK($C114),"",MAX($A$95:$A113)+0.01)</f>
        <v>4.0999999999999979</v>
      </c>
      <c r="B114" s="65" t="s">
        <v>1445</v>
      </c>
      <c r="C114" s="66" t="s">
        <v>1461</v>
      </c>
      <c r="D114" s="44"/>
      <c r="E114" s="45" t="s">
        <v>91</v>
      </c>
      <c r="F114" s="44"/>
      <c r="G114" s="45"/>
      <c r="H114" s="46" t="str">
        <f t="shared" si="0"/>
        <v/>
      </c>
      <c r="I114" s="45"/>
      <c r="J114" s="46" t="str">
        <f t="shared" si="1"/>
        <v/>
      </c>
      <c r="K114" s="45"/>
      <c r="L114" s="46" t="str">
        <f t="shared" si="2"/>
        <v/>
      </c>
      <c r="M114" s="45"/>
      <c r="N114" s="46" t="str">
        <f t="shared" si="3"/>
        <v/>
      </c>
      <c r="O114" s="44"/>
      <c r="P114" s="45"/>
      <c r="Q114" s="50" t="str">
        <f t="shared" si="4"/>
        <v/>
      </c>
      <c r="R114" s="53" t="str">
        <f t="shared" si="5"/>
        <v/>
      </c>
      <c r="S114" s="43"/>
      <c r="T114" s="43"/>
      <c r="U114" s="43"/>
      <c r="W114" s="37">
        <v>0</v>
      </c>
      <c r="X114" s="37">
        <v>0</v>
      </c>
      <c r="Y114" s="37">
        <v>0</v>
      </c>
      <c r="Z114" s="37">
        <v>0</v>
      </c>
      <c r="AA114" s="37">
        <v>0</v>
      </c>
      <c r="AB114" s="38">
        <v>0</v>
      </c>
      <c r="AC114" s="38">
        <v>0</v>
      </c>
      <c r="AD114" s="38">
        <v>0</v>
      </c>
      <c r="AE114" s="38">
        <v>0</v>
      </c>
      <c r="AF114" s="38">
        <v>0</v>
      </c>
      <c r="AG114" s="36">
        <f t="shared" ref="AG114" si="33">IF($AG$100=5,SUM(AB114:AF114),IF($AG$100=4,SUM(AB114:AE114),IF($AG$100=3,SUM(AB114:AD114),IF($AG$100=2,SUM(AB114:AC114),AB114))))/$AG$100</f>
        <v>0</v>
      </c>
      <c r="AI114" s="79">
        <f t="shared" si="32"/>
        <v>0</v>
      </c>
      <c r="AJ114" s="79">
        <f t="shared" si="30"/>
        <v>0</v>
      </c>
      <c r="AK114" s="79">
        <f t="shared" si="8"/>
        <v>0</v>
      </c>
      <c r="AL114" s="79">
        <f t="shared" si="9"/>
        <v>0</v>
      </c>
      <c r="AM114" s="79">
        <f t="shared" si="10"/>
        <v>0</v>
      </c>
      <c r="AN114" s="79">
        <f t="shared" si="11"/>
        <v>0</v>
      </c>
      <c r="AO114" s="79">
        <f t="shared" si="12"/>
        <v>0</v>
      </c>
      <c r="AP114" s="79">
        <f t="shared" si="13"/>
        <v>0</v>
      </c>
      <c r="AQ114" s="79">
        <f t="shared" si="12"/>
        <v>0</v>
      </c>
      <c r="AR114" s="79">
        <f t="shared" si="13"/>
        <v>0</v>
      </c>
      <c r="AS114" s="79">
        <f t="shared" si="14"/>
        <v>0</v>
      </c>
      <c r="AT114" s="79">
        <f t="shared" si="15"/>
        <v>0</v>
      </c>
      <c r="AU114" s="79">
        <f t="shared" si="16"/>
        <v>0</v>
      </c>
      <c r="AV114" s="79">
        <f t="shared" si="17"/>
        <v>0</v>
      </c>
      <c r="AW114" s="79">
        <f t="shared" si="18"/>
        <v>0</v>
      </c>
      <c r="AX114" s="79">
        <f t="shared" si="19"/>
        <v>0</v>
      </c>
      <c r="AY114" s="79">
        <f t="shared" si="20"/>
        <v>0</v>
      </c>
      <c r="AZ114" s="79">
        <f t="shared" si="21"/>
        <v>0</v>
      </c>
      <c r="BA114" s="79">
        <f t="shared" si="22"/>
        <v>0</v>
      </c>
      <c r="BB114" s="79">
        <f t="shared" si="23"/>
        <v>0</v>
      </c>
      <c r="BC114" s="79">
        <f t="shared" si="22"/>
        <v>0</v>
      </c>
      <c r="BD114" s="79">
        <f t="shared" si="23"/>
        <v>0</v>
      </c>
      <c r="BE114" s="79">
        <f t="shared" si="24"/>
        <v>0</v>
      </c>
      <c r="BF114" s="79">
        <f t="shared" si="25"/>
        <v>0</v>
      </c>
      <c r="BG114" s="79">
        <f t="shared" si="26"/>
        <v>0</v>
      </c>
      <c r="BH114" s="79">
        <f t="shared" si="27"/>
        <v>0</v>
      </c>
      <c r="BI114" s="79">
        <f t="shared" si="28"/>
        <v>0</v>
      </c>
      <c r="BJ114" s="79">
        <f t="shared" si="29"/>
        <v>0</v>
      </c>
      <c r="BK114" s="56"/>
      <c r="BL114" s="56"/>
    </row>
    <row r="115" spans="1:64" ht="82.8" x14ac:dyDescent="0.3">
      <c r="A115" s="12">
        <f>IF(ISBLANK($C115),"",MAX($A$95:$A114)+0.01)</f>
        <v>4.1099999999999977</v>
      </c>
      <c r="B115" s="65" t="s">
        <v>1445</v>
      </c>
      <c r="C115" s="66" t="s">
        <v>1471</v>
      </c>
      <c r="D115" s="44"/>
      <c r="E115" s="45" t="s">
        <v>91</v>
      </c>
      <c r="F115" s="44"/>
      <c r="G115" s="45"/>
      <c r="H115" s="46" t="str">
        <f t="shared" si="0"/>
        <v/>
      </c>
      <c r="I115" s="45"/>
      <c r="J115" s="46" t="str">
        <f t="shared" si="1"/>
        <v/>
      </c>
      <c r="K115" s="45"/>
      <c r="L115" s="46" t="str">
        <f t="shared" si="2"/>
        <v/>
      </c>
      <c r="M115" s="45"/>
      <c r="N115" s="46" t="str">
        <f t="shared" si="3"/>
        <v/>
      </c>
      <c r="O115" s="44"/>
      <c r="P115" s="45"/>
      <c r="Q115" s="50" t="str">
        <f t="shared" si="4"/>
        <v/>
      </c>
      <c r="R115" s="53" t="str">
        <f t="shared" si="5"/>
        <v/>
      </c>
      <c r="S115" s="43"/>
      <c r="T115" s="43"/>
      <c r="U115" s="43"/>
      <c r="W115" s="37">
        <v>0</v>
      </c>
      <c r="X115" s="37">
        <v>0</v>
      </c>
      <c r="Y115" s="37">
        <v>0</v>
      </c>
      <c r="Z115" s="37">
        <v>0</v>
      </c>
      <c r="AA115" s="37">
        <v>0</v>
      </c>
      <c r="AB115" s="38">
        <v>0</v>
      </c>
      <c r="AC115" s="38">
        <v>0</v>
      </c>
      <c r="AD115" s="38">
        <v>0</v>
      </c>
      <c r="AE115" s="38">
        <v>0</v>
      </c>
      <c r="AF115" s="38">
        <v>0</v>
      </c>
      <c r="AG115" s="36">
        <f t="shared" si="31"/>
        <v>0</v>
      </c>
      <c r="AI115" s="79">
        <f t="shared" si="32"/>
        <v>0</v>
      </c>
      <c r="AJ115" s="79">
        <f t="shared" si="30"/>
        <v>0</v>
      </c>
      <c r="AK115" s="79">
        <f t="shared" si="8"/>
        <v>0</v>
      </c>
      <c r="AL115" s="79">
        <f t="shared" si="9"/>
        <v>0</v>
      </c>
      <c r="AM115" s="79">
        <f t="shared" si="10"/>
        <v>0</v>
      </c>
      <c r="AN115" s="79">
        <f t="shared" si="11"/>
        <v>0</v>
      </c>
      <c r="AO115" s="79">
        <f t="shared" si="12"/>
        <v>0</v>
      </c>
      <c r="AP115" s="79">
        <f t="shared" si="13"/>
        <v>0</v>
      </c>
      <c r="AQ115" s="79">
        <f t="shared" si="12"/>
        <v>0</v>
      </c>
      <c r="AR115" s="79">
        <f t="shared" si="13"/>
        <v>0</v>
      </c>
      <c r="AS115" s="79">
        <f t="shared" si="14"/>
        <v>0</v>
      </c>
      <c r="AT115" s="79">
        <f t="shared" si="15"/>
        <v>0</v>
      </c>
      <c r="AU115" s="79">
        <f t="shared" si="16"/>
        <v>0</v>
      </c>
      <c r="AV115" s="79">
        <f t="shared" si="17"/>
        <v>0</v>
      </c>
      <c r="AW115" s="79">
        <f t="shared" si="18"/>
        <v>0</v>
      </c>
      <c r="AX115" s="79">
        <f t="shared" si="19"/>
        <v>0</v>
      </c>
      <c r="AY115" s="79">
        <f t="shared" si="20"/>
        <v>0</v>
      </c>
      <c r="AZ115" s="79">
        <f t="shared" si="21"/>
        <v>0</v>
      </c>
      <c r="BA115" s="79">
        <f t="shared" si="22"/>
        <v>0</v>
      </c>
      <c r="BB115" s="79">
        <f t="shared" si="23"/>
        <v>0</v>
      </c>
      <c r="BC115" s="79">
        <f t="shared" si="22"/>
        <v>0</v>
      </c>
      <c r="BD115" s="79">
        <f t="shared" si="23"/>
        <v>0</v>
      </c>
      <c r="BE115" s="79">
        <f t="shared" si="24"/>
        <v>0</v>
      </c>
      <c r="BF115" s="79">
        <f t="shared" si="25"/>
        <v>0</v>
      </c>
      <c r="BG115" s="79">
        <f t="shared" si="26"/>
        <v>0</v>
      </c>
      <c r="BH115" s="79">
        <f t="shared" si="27"/>
        <v>0</v>
      </c>
      <c r="BI115" s="79">
        <f t="shared" si="28"/>
        <v>0</v>
      </c>
      <c r="BJ115" s="79">
        <f t="shared" si="29"/>
        <v>0</v>
      </c>
      <c r="BK115" s="56"/>
      <c r="BL115" s="56"/>
    </row>
    <row r="116" spans="1:64" ht="41.4" x14ac:dyDescent="0.3">
      <c r="A116" s="12">
        <f>IF(ISBLANK($C116),"",MAX($A$95:$A115)+0.01)</f>
        <v>4.1199999999999974</v>
      </c>
      <c r="B116" s="65" t="s">
        <v>1445</v>
      </c>
      <c r="C116" s="66" t="s">
        <v>1462</v>
      </c>
      <c r="D116" s="44"/>
      <c r="E116" s="45" t="s">
        <v>91</v>
      </c>
      <c r="F116" s="44"/>
      <c r="G116" s="45"/>
      <c r="H116" s="46" t="str">
        <f t="shared" si="0"/>
        <v/>
      </c>
      <c r="I116" s="45"/>
      <c r="J116" s="46" t="str">
        <f t="shared" si="1"/>
        <v/>
      </c>
      <c r="K116" s="45"/>
      <c r="L116" s="46" t="str">
        <f t="shared" si="2"/>
        <v/>
      </c>
      <c r="M116" s="45"/>
      <c r="N116" s="46" t="str">
        <f t="shared" si="3"/>
        <v/>
      </c>
      <c r="O116" s="44"/>
      <c r="P116" s="45"/>
      <c r="Q116" s="50" t="str">
        <f t="shared" si="4"/>
        <v/>
      </c>
      <c r="R116" s="53" t="str">
        <f t="shared" si="5"/>
        <v/>
      </c>
      <c r="S116" s="43"/>
      <c r="T116" s="43"/>
      <c r="U116" s="43"/>
      <c r="W116" s="37">
        <v>0</v>
      </c>
      <c r="X116" s="37">
        <v>0</v>
      </c>
      <c r="Y116" s="37">
        <v>0</v>
      </c>
      <c r="Z116" s="37">
        <v>0</v>
      </c>
      <c r="AA116" s="37">
        <v>0</v>
      </c>
      <c r="AB116" s="38">
        <v>0</v>
      </c>
      <c r="AC116" s="38">
        <v>0</v>
      </c>
      <c r="AD116" s="38">
        <v>0</v>
      </c>
      <c r="AE116" s="38">
        <v>0</v>
      </c>
      <c r="AF116" s="38">
        <v>0</v>
      </c>
      <c r="AG116" s="36">
        <f t="shared" si="31"/>
        <v>0</v>
      </c>
      <c r="AI116" s="79">
        <f t="shared" si="32"/>
        <v>0</v>
      </c>
      <c r="AJ116" s="79">
        <f t="shared" si="30"/>
        <v>0</v>
      </c>
      <c r="AK116" s="79">
        <f t="shared" si="8"/>
        <v>0</v>
      </c>
      <c r="AL116" s="79">
        <f t="shared" si="9"/>
        <v>0</v>
      </c>
      <c r="AM116" s="79">
        <f t="shared" si="10"/>
        <v>0</v>
      </c>
      <c r="AN116" s="79">
        <f t="shared" si="11"/>
        <v>0</v>
      </c>
      <c r="AO116" s="79">
        <f t="shared" si="12"/>
        <v>0</v>
      </c>
      <c r="AP116" s="79">
        <f t="shared" si="13"/>
        <v>0</v>
      </c>
      <c r="AQ116" s="79">
        <f t="shared" si="12"/>
        <v>0</v>
      </c>
      <c r="AR116" s="79">
        <f t="shared" si="13"/>
        <v>0</v>
      </c>
      <c r="AS116" s="79">
        <f t="shared" si="14"/>
        <v>0</v>
      </c>
      <c r="AT116" s="79">
        <f t="shared" si="15"/>
        <v>0</v>
      </c>
      <c r="AU116" s="79">
        <f t="shared" si="16"/>
        <v>0</v>
      </c>
      <c r="AV116" s="79">
        <f t="shared" si="17"/>
        <v>0</v>
      </c>
      <c r="AW116" s="79">
        <f t="shared" si="18"/>
        <v>0</v>
      </c>
      <c r="AX116" s="79">
        <f t="shared" si="19"/>
        <v>0</v>
      </c>
      <c r="AY116" s="79">
        <f t="shared" si="20"/>
        <v>0</v>
      </c>
      <c r="AZ116" s="79">
        <f t="shared" si="21"/>
        <v>0</v>
      </c>
      <c r="BA116" s="79">
        <f t="shared" si="22"/>
        <v>0</v>
      </c>
      <c r="BB116" s="79">
        <f t="shared" si="23"/>
        <v>0</v>
      </c>
      <c r="BC116" s="79">
        <f t="shared" si="22"/>
        <v>0</v>
      </c>
      <c r="BD116" s="79">
        <f t="shared" si="23"/>
        <v>0</v>
      </c>
      <c r="BE116" s="79">
        <f t="shared" si="24"/>
        <v>0</v>
      </c>
      <c r="BF116" s="79">
        <f t="shared" si="25"/>
        <v>0</v>
      </c>
      <c r="BG116" s="79">
        <f t="shared" si="26"/>
        <v>0</v>
      </c>
      <c r="BH116" s="79">
        <f t="shared" si="27"/>
        <v>0</v>
      </c>
      <c r="BI116" s="79">
        <f t="shared" si="28"/>
        <v>0</v>
      </c>
      <c r="BJ116" s="79">
        <f t="shared" si="29"/>
        <v>0</v>
      </c>
      <c r="BK116" s="56"/>
      <c r="BL116" s="56"/>
    </row>
    <row r="117" spans="1:64" x14ac:dyDescent="0.3">
      <c r="A117" s="12" t="str">
        <f>IF(ISBLANK($C117),"",MAX($A$95:$A116)+0.01)</f>
        <v/>
      </c>
      <c r="B117" s="51"/>
      <c r="C117" s="64"/>
      <c r="D117" s="44"/>
      <c r="E117" s="45"/>
      <c r="F117" s="44"/>
      <c r="G117" s="45"/>
      <c r="H117" s="46" t="str">
        <f t="shared" si="0"/>
        <v/>
      </c>
      <c r="I117" s="45"/>
      <c r="J117" s="46" t="str">
        <f t="shared" si="1"/>
        <v/>
      </c>
      <c r="K117" s="45"/>
      <c r="L117" s="46" t="str">
        <f t="shared" si="2"/>
        <v/>
      </c>
      <c r="M117" s="45"/>
      <c r="N117" s="46" t="str">
        <f t="shared" si="3"/>
        <v/>
      </c>
      <c r="O117" s="44"/>
      <c r="P117" s="45"/>
      <c r="Q117" s="50" t="str">
        <f t="shared" si="4"/>
        <v/>
      </c>
      <c r="R117" s="53" t="str">
        <f t="shared" si="5"/>
        <v/>
      </c>
      <c r="S117" s="43"/>
      <c r="T117" s="43"/>
      <c r="U117" s="43"/>
      <c r="W117" s="37">
        <v>0</v>
      </c>
      <c r="X117" s="37">
        <v>0</v>
      </c>
      <c r="Y117" s="37">
        <v>0</v>
      </c>
      <c r="Z117" s="37">
        <v>0</v>
      </c>
      <c r="AA117" s="37">
        <v>0</v>
      </c>
      <c r="AB117" s="38">
        <v>0</v>
      </c>
      <c r="AC117" s="38">
        <v>0</v>
      </c>
      <c r="AD117" s="38">
        <v>0</v>
      </c>
      <c r="AE117" s="38">
        <v>0</v>
      </c>
      <c r="AF117" s="38">
        <v>0</v>
      </c>
      <c r="AG117" s="36">
        <f t="shared" si="31"/>
        <v>0</v>
      </c>
      <c r="AI117" s="79">
        <f t="shared" si="32"/>
        <v>0</v>
      </c>
      <c r="AJ117" s="79">
        <f t="shared" si="30"/>
        <v>0</v>
      </c>
      <c r="AK117" s="79">
        <f t="shared" si="8"/>
        <v>0</v>
      </c>
      <c r="AL117" s="79">
        <f t="shared" si="9"/>
        <v>0</v>
      </c>
      <c r="AM117" s="79">
        <f t="shared" si="10"/>
        <v>0</v>
      </c>
      <c r="AN117" s="79">
        <f t="shared" si="11"/>
        <v>0</v>
      </c>
      <c r="AO117" s="79">
        <f t="shared" si="12"/>
        <v>0</v>
      </c>
      <c r="AP117" s="79">
        <f t="shared" si="13"/>
        <v>0</v>
      </c>
      <c r="AQ117" s="79">
        <f t="shared" si="12"/>
        <v>0</v>
      </c>
      <c r="AR117" s="79">
        <f t="shared" si="13"/>
        <v>0</v>
      </c>
      <c r="AS117" s="79">
        <f t="shared" si="14"/>
        <v>0</v>
      </c>
      <c r="AT117" s="79">
        <f t="shared" si="15"/>
        <v>0</v>
      </c>
      <c r="AU117" s="79">
        <f t="shared" si="16"/>
        <v>0</v>
      </c>
      <c r="AV117" s="79">
        <f t="shared" si="17"/>
        <v>0</v>
      </c>
      <c r="AW117" s="79">
        <f t="shared" si="18"/>
        <v>0</v>
      </c>
      <c r="AX117" s="79">
        <f t="shared" si="19"/>
        <v>0</v>
      </c>
      <c r="AY117" s="79">
        <f t="shared" si="20"/>
        <v>0</v>
      </c>
      <c r="AZ117" s="79">
        <f t="shared" si="21"/>
        <v>0</v>
      </c>
      <c r="BA117" s="79">
        <f t="shared" si="22"/>
        <v>0</v>
      </c>
      <c r="BB117" s="79">
        <f t="shared" si="23"/>
        <v>0</v>
      </c>
      <c r="BC117" s="79">
        <f t="shared" si="22"/>
        <v>0</v>
      </c>
      <c r="BD117" s="79">
        <f t="shared" si="23"/>
        <v>0</v>
      </c>
      <c r="BE117" s="79">
        <f t="shared" si="24"/>
        <v>0</v>
      </c>
      <c r="BF117" s="79">
        <f t="shared" si="25"/>
        <v>0</v>
      </c>
      <c r="BG117" s="79">
        <f t="shared" si="26"/>
        <v>0</v>
      </c>
      <c r="BH117" s="79">
        <f t="shared" si="27"/>
        <v>0</v>
      </c>
      <c r="BI117" s="79">
        <f t="shared" si="28"/>
        <v>0</v>
      </c>
      <c r="BJ117" s="79">
        <f t="shared" si="29"/>
        <v>0</v>
      </c>
      <c r="BK117" s="56"/>
      <c r="BL117" s="56"/>
    </row>
    <row r="118" spans="1:64" x14ac:dyDescent="0.3">
      <c r="A118" s="12" t="str">
        <f>IF(ISBLANK($C118),"",MAX($A$95:$A117)+0.01)</f>
        <v/>
      </c>
      <c r="B118" s="51"/>
      <c r="C118" s="64"/>
      <c r="D118" s="44"/>
      <c r="E118" s="45"/>
      <c r="F118" s="44"/>
      <c r="G118" s="45"/>
      <c r="H118" s="46" t="str">
        <f t="shared" si="0"/>
        <v/>
      </c>
      <c r="I118" s="45"/>
      <c r="J118" s="46" t="str">
        <f t="shared" si="1"/>
        <v/>
      </c>
      <c r="K118" s="45"/>
      <c r="L118" s="46" t="str">
        <f t="shared" si="2"/>
        <v/>
      </c>
      <c r="M118" s="45"/>
      <c r="N118" s="46" t="str">
        <f t="shared" si="3"/>
        <v/>
      </c>
      <c r="O118" s="44"/>
      <c r="P118" s="45"/>
      <c r="Q118" s="50" t="str">
        <f t="shared" si="4"/>
        <v/>
      </c>
      <c r="R118" s="53" t="str">
        <f t="shared" si="5"/>
        <v/>
      </c>
      <c r="S118" s="43"/>
      <c r="T118" s="43"/>
      <c r="U118" s="43"/>
      <c r="W118" s="37">
        <v>0</v>
      </c>
      <c r="X118" s="37">
        <v>0</v>
      </c>
      <c r="Y118" s="37">
        <v>0</v>
      </c>
      <c r="Z118" s="37">
        <v>0</v>
      </c>
      <c r="AA118" s="37">
        <v>0</v>
      </c>
      <c r="AB118" s="38">
        <v>0</v>
      </c>
      <c r="AC118" s="38">
        <v>0</v>
      </c>
      <c r="AD118" s="38">
        <v>0</v>
      </c>
      <c r="AE118" s="38">
        <v>0</v>
      </c>
      <c r="AF118" s="38">
        <v>0</v>
      </c>
      <c r="AG118" s="36">
        <f t="shared" si="7"/>
        <v>0</v>
      </c>
      <c r="AI118" s="79">
        <f t="shared" si="32"/>
        <v>0</v>
      </c>
      <c r="AJ118" s="79">
        <f t="shared" si="30"/>
        <v>0</v>
      </c>
      <c r="AK118" s="79">
        <f t="shared" si="8"/>
        <v>0</v>
      </c>
      <c r="AL118" s="79">
        <f t="shared" si="9"/>
        <v>0</v>
      </c>
      <c r="AM118" s="79">
        <f t="shared" si="10"/>
        <v>0</v>
      </c>
      <c r="AN118" s="79">
        <f t="shared" si="11"/>
        <v>0</v>
      </c>
      <c r="AO118" s="79">
        <f t="shared" si="12"/>
        <v>0</v>
      </c>
      <c r="AP118" s="79">
        <f t="shared" si="13"/>
        <v>0</v>
      </c>
      <c r="AQ118" s="79">
        <f t="shared" si="12"/>
        <v>0</v>
      </c>
      <c r="AR118" s="79">
        <f t="shared" si="13"/>
        <v>0</v>
      </c>
      <c r="AS118" s="79">
        <f t="shared" si="14"/>
        <v>0</v>
      </c>
      <c r="AT118" s="79">
        <f t="shared" si="15"/>
        <v>0</v>
      </c>
      <c r="AU118" s="79">
        <f t="shared" si="16"/>
        <v>0</v>
      </c>
      <c r="AV118" s="79">
        <f t="shared" si="17"/>
        <v>0</v>
      </c>
      <c r="AW118" s="79">
        <f t="shared" si="18"/>
        <v>0</v>
      </c>
      <c r="AX118" s="79">
        <f t="shared" si="19"/>
        <v>0</v>
      </c>
      <c r="AY118" s="79">
        <f t="shared" si="20"/>
        <v>0</v>
      </c>
      <c r="AZ118" s="79">
        <f t="shared" si="21"/>
        <v>0</v>
      </c>
      <c r="BA118" s="79">
        <f t="shared" si="22"/>
        <v>0</v>
      </c>
      <c r="BB118" s="79">
        <f t="shared" si="23"/>
        <v>0</v>
      </c>
      <c r="BC118" s="79">
        <f t="shared" si="22"/>
        <v>0</v>
      </c>
      <c r="BD118" s="79">
        <f t="shared" si="23"/>
        <v>0</v>
      </c>
      <c r="BE118" s="79">
        <f t="shared" si="24"/>
        <v>0</v>
      </c>
      <c r="BF118" s="79">
        <f t="shared" si="25"/>
        <v>0</v>
      </c>
      <c r="BG118" s="79">
        <f t="shared" si="26"/>
        <v>0</v>
      </c>
      <c r="BH118" s="79">
        <f t="shared" si="27"/>
        <v>0</v>
      </c>
      <c r="BI118" s="79">
        <f t="shared" si="28"/>
        <v>0</v>
      </c>
      <c r="BJ118" s="79">
        <f t="shared" si="29"/>
        <v>0</v>
      </c>
      <c r="BK118" s="56"/>
      <c r="BL118" s="56"/>
    </row>
    <row r="119" spans="1:64" x14ac:dyDescent="0.3">
      <c r="A119" s="12" t="str">
        <f>IF(ISBLANK($C119),"",MAX($A$95:$A118)+0.01)</f>
        <v/>
      </c>
      <c r="B119" s="51"/>
      <c r="C119" s="64"/>
      <c r="D119" s="44"/>
      <c r="E119" s="45"/>
      <c r="F119" s="44"/>
      <c r="G119" s="45"/>
      <c r="H119" s="46" t="str">
        <f t="shared" si="0"/>
        <v/>
      </c>
      <c r="I119" s="45"/>
      <c r="J119" s="46" t="str">
        <f t="shared" si="1"/>
        <v/>
      </c>
      <c r="K119" s="45"/>
      <c r="L119" s="46" t="str">
        <f t="shared" si="2"/>
        <v/>
      </c>
      <c r="M119" s="45"/>
      <c r="N119" s="46" t="str">
        <f t="shared" si="3"/>
        <v/>
      </c>
      <c r="O119" s="44"/>
      <c r="P119" s="45"/>
      <c r="Q119" s="50" t="str">
        <f t="shared" si="4"/>
        <v/>
      </c>
      <c r="R119" s="53" t="str">
        <f t="shared" si="5"/>
        <v/>
      </c>
      <c r="S119" s="43"/>
      <c r="T119" s="43"/>
      <c r="U119" s="43"/>
      <c r="W119" s="37">
        <v>0</v>
      </c>
      <c r="X119" s="37">
        <v>0</v>
      </c>
      <c r="Y119" s="37">
        <v>0</v>
      </c>
      <c r="Z119" s="37">
        <v>0</v>
      </c>
      <c r="AA119" s="37">
        <v>0</v>
      </c>
      <c r="AB119" s="38">
        <v>0</v>
      </c>
      <c r="AC119" s="38">
        <v>0</v>
      </c>
      <c r="AD119" s="38">
        <v>0</v>
      </c>
      <c r="AE119" s="38">
        <v>0</v>
      </c>
      <c r="AF119" s="38">
        <v>0</v>
      </c>
      <c r="AG119" s="36">
        <f t="shared" si="7"/>
        <v>0</v>
      </c>
      <c r="AI119" s="79">
        <f t="shared" si="32"/>
        <v>0</v>
      </c>
      <c r="AJ119" s="79">
        <f t="shared" si="30"/>
        <v>0</v>
      </c>
      <c r="AK119" s="79">
        <f t="shared" si="8"/>
        <v>0</v>
      </c>
      <c r="AL119" s="79">
        <f t="shared" si="9"/>
        <v>0</v>
      </c>
      <c r="AM119" s="79">
        <f t="shared" si="10"/>
        <v>0</v>
      </c>
      <c r="AN119" s="79">
        <f t="shared" si="11"/>
        <v>0</v>
      </c>
      <c r="AO119" s="79">
        <f t="shared" si="12"/>
        <v>0</v>
      </c>
      <c r="AP119" s="79">
        <f t="shared" si="13"/>
        <v>0</v>
      </c>
      <c r="AQ119" s="79">
        <f t="shared" si="12"/>
        <v>0</v>
      </c>
      <c r="AR119" s="79">
        <f t="shared" si="13"/>
        <v>0</v>
      </c>
      <c r="AS119" s="79">
        <f t="shared" si="14"/>
        <v>0</v>
      </c>
      <c r="AT119" s="79">
        <f t="shared" si="15"/>
        <v>0</v>
      </c>
      <c r="AU119" s="79">
        <f t="shared" si="16"/>
        <v>0</v>
      </c>
      <c r="AV119" s="79">
        <f t="shared" si="17"/>
        <v>0</v>
      </c>
      <c r="AW119" s="79">
        <f t="shared" si="18"/>
        <v>0</v>
      </c>
      <c r="AX119" s="79">
        <f t="shared" si="19"/>
        <v>0</v>
      </c>
      <c r="AY119" s="79">
        <f t="shared" si="20"/>
        <v>0</v>
      </c>
      <c r="AZ119" s="79">
        <f t="shared" si="21"/>
        <v>0</v>
      </c>
      <c r="BA119" s="79">
        <f t="shared" si="22"/>
        <v>0</v>
      </c>
      <c r="BB119" s="79">
        <f t="shared" si="23"/>
        <v>0</v>
      </c>
      <c r="BC119" s="79">
        <f t="shared" si="22"/>
        <v>0</v>
      </c>
      <c r="BD119" s="79">
        <f t="shared" si="23"/>
        <v>0</v>
      </c>
      <c r="BE119" s="79">
        <f t="shared" si="24"/>
        <v>0</v>
      </c>
      <c r="BF119" s="79">
        <f t="shared" si="25"/>
        <v>0</v>
      </c>
      <c r="BG119" s="79">
        <f t="shared" si="26"/>
        <v>0</v>
      </c>
      <c r="BH119" s="79">
        <f t="shared" si="27"/>
        <v>0</v>
      </c>
      <c r="BI119" s="79">
        <f t="shared" si="28"/>
        <v>0</v>
      </c>
      <c r="BJ119" s="79">
        <f t="shared" si="29"/>
        <v>0</v>
      </c>
      <c r="BK119" s="56"/>
      <c r="BL119" s="56"/>
    </row>
    <row r="120" spans="1:64" x14ac:dyDescent="0.3">
      <c r="A120" s="12" t="str">
        <f>IF(ISBLANK($C120),"",MAX($A$95:$A119)+0.01)</f>
        <v/>
      </c>
      <c r="B120" s="51"/>
      <c r="C120" s="44"/>
      <c r="D120" s="44"/>
      <c r="E120" s="45"/>
      <c r="F120" s="44"/>
      <c r="G120" s="45"/>
      <c r="H120" s="46" t="str">
        <f t="shared" si="0"/>
        <v/>
      </c>
      <c r="I120" s="45"/>
      <c r="J120" s="46" t="str">
        <f t="shared" si="1"/>
        <v/>
      </c>
      <c r="K120" s="45"/>
      <c r="L120" s="46" t="str">
        <f t="shared" si="2"/>
        <v/>
      </c>
      <c r="M120" s="45"/>
      <c r="N120" s="46" t="str">
        <f t="shared" si="3"/>
        <v/>
      </c>
      <c r="O120" s="44"/>
      <c r="P120" s="45"/>
      <c r="Q120" s="50" t="str">
        <f t="shared" si="4"/>
        <v/>
      </c>
      <c r="R120" s="53" t="str">
        <f t="shared" si="5"/>
        <v/>
      </c>
      <c r="S120" s="43"/>
      <c r="T120" s="43"/>
      <c r="U120" s="43"/>
      <c r="W120" s="37">
        <v>0</v>
      </c>
      <c r="X120" s="37">
        <v>0</v>
      </c>
      <c r="Y120" s="37">
        <v>0</v>
      </c>
      <c r="Z120" s="37">
        <v>0</v>
      </c>
      <c r="AA120" s="37">
        <v>0</v>
      </c>
      <c r="AB120" s="38">
        <v>0</v>
      </c>
      <c r="AC120" s="38">
        <v>0</v>
      </c>
      <c r="AD120" s="38">
        <v>0</v>
      </c>
      <c r="AE120" s="38">
        <v>0</v>
      </c>
      <c r="AF120" s="38">
        <v>0</v>
      </c>
      <c r="AG120" s="36">
        <f t="shared" si="7"/>
        <v>0</v>
      </c>
      <c r="AI120" s="79">
        <f t="shared" si="32"/>
        <v>0</v>
      </c>
      <c r="AJ120" s="79">
        <f t="shared" si="30"/>
        <v>0</v>
      </c>
      <c r="AK120" s="79">
        <f t="shared" si="8"/>
        <v>0</v>
      </c>
      <c r="AL120" s="79">
        <f t="shared" si="9"/>
        <v>0</v>
      </c>
      <c r="AM120" s="79">
        <f t="shared" si="10"/>
        <v>0</v>
      </c>
      <c r="AN120" s="79">
        <f t="shared" si="11"/>
        <v>0</v>
      </c>
      <c r="AO120" s="79">
        <f t="shared" si="12"/>
        <v>0</v>
      </c>
      <c r="AP120" s="79">
        <f t="shared" si="13"/>
        <v>0</v>
      </c>
      <c r="AQ120" s="79">
        <f t="shared" si="12"/>
        <v>0</v>
      </c>
      <c r="AR120" s="79">
        <f t="shared" si="13"/>
        <v>0</v>
      </c>
      <c r="AS120" s="79">
        <f t="shared" si="14"/>
        <v>0</v>
      </c>
      <c r="AT120" s="79">
        <f t="shared" si="15"/>
        <v>0</v>
      </c>
      <c r="AU120" s="79">
        <f t="shared" si="16"/>
        <v>0</v>
      </c>
      <c r="AV120" s="79">
        <f t="shared" si="17"/>
        <v>0</v>
      </c>
      <c r="AW120" s="79">
        <f t="shared" si="18"/>
        <v>0</v>
      </c>
      <c r="AX120" s="79">
        <f t="shared" si="19"/>
        <v>0</v>
      </c>
      <c r="AY120" s="79">
        <f t="shared" si="20"/>
        <v>0</v>
      </c>
      <c r="AZ120" s="79">
        <f t="shared" si="21"/>
        <v>0</v>
      </c>
      <c r="BA120" s="79">
        <f t="shared" si="22"/>
        <v>0</v>
      </c>
      <c r="BB120" s="79">
        <f t="shared" si="23"/>
        <v>0</v>
      </c>
      <c r="BC120" s="79">
        <f t="shared" si="22"/>
        <v>0</v>
      </c>
      <c r="BD120" s="79">
        <f t="shared" si="23"/>
        <v>0</v>
      </c>
      <c r="BE120" s="79">
        <f t="shared" si="24"/>
        <v>0</v>
      </c>
      <c r="BF120" s="79">
        <f t="shared" si="25"/>
        <v>0</v>
      </c>
      <c r="BG120" s="79">
        <f t="shared" si="26"/>
        <v>0</v>
      </c>
      <c r="BH120" s="79">
        <f t="shared" si="27"/>
        <v>0</v>
      </c>
      <c r="BI120" s="79">
        <f t="shared" si="28"/>
        <v>0</v>
      </c>
      <c r="BJ120" s="79">
        <f t="shared" si="29"/>
        <v>0</v>
      </c>
      <c r="BK120" s="56"/>
      <c r="BL120" s="56"/>
    </row>
    <row r="121" spans="1:64" ht="24" customHeight="1" x14ac:dyDescent="0.3">
      <c r="A121" s="20"/>
      <c r="B121" s="234" t="s">
        <v>1502</v>
      </c>
      <c r="C121" s="234"/>
      <c r="D121" s="234"/>
      <c r="E121" s="234"/>
      <c r="F121" s="234"/>
      <c r="G121" s="234"/>
      <c r="H121" s="234"/>
      <c r="I121" s="234"/>
      <c r="J121" s="234"/>
      <c r="K121" s="234"/>
      <c r="L121" s="234"/>
      <c r="M121" s="234"/>
      <c r="N121" s="234"/>
      <c r="O121" s="234"/>
      <c r="P121" s="234"/>
      <c r="Q121" s="234"/>
      <c r="R121" s="234"/>
      <c r="S121" s="234"/>
      <c r="T121" s="234"/>
      <c r="U121" s="234"/>
      <c r="W121" s="33" t="s">
        <v>86</v>
      </c>
      <c r="X121" s="33" t="s">
        <v>87</v>
      </c>
      <c r="Y121" s="33" t="s">
        <v>88</v>
      </c>
      <c r="Z121" s="33" t="s">
        <v>89</v>
      </c>
      <c r="AA121" s="33" t="s">
        <v>90</v>
      </c>
      <c r="AB121" s="34" t="s">
        <v>86</v>
      </c>
      <c r="AC121" s="34" t="s">
        <v>87</v>
      </c>
      <c r="AD121" s="34" t="s">
        <v>88</v>
      </c>
      <c r="AE121" s="34" t="s">
        <v>89</v>
      </c>
      <c r="AF121" s="34" t="s">
        <v>90</v>
      </c>
      <c r="AG121" s="35" t="s">
        <v>85</v>
      </c>
      <c r="AI121" s="79" t="e">
        <f>SUM(AI104:AI120)</f>
        <v>#VALUE!</v>
      </c>
      <c r="AJ121" s="79" t="e">
        <f>SUM(AJ104:AJ120)</f>
        <v>#VALUE!</v>
      </c>
      <c r="AK121" s="79">
        <f>SUM(AK104:AK120)</f>
        <v>0</v>
      </c>
      <c r="AL121" s="79">
        <f>SUM(AL104:AL120)</f>
        <v>0</v>
      </c>
      <c r="AM121" s="79">
        <f t="shared" si="10"/>
        <v>0</v>
      </c>
      <c r="AN121" s="79">
        <f t="shared" si="11"/>
        <v>0</v>
      </c>
      <c r="AO121" s="79">
        <f t="shared" si="12"/>
        <v>0</v>
      </c>
      <c r="AP121" s="79">
        <f t="shared" si="13"/>
        <v>0</v>
      </c>
      <c r="AQ121" s="79">
        <f t="shared" si="12"/>
        <v>0</v>
      </c>
      <c r="AR121" s="79">
        <f t="shared" si="13"/>
        <v>0</v>
      </c>
      <c r="AS121" s="79">
        <f t="shared" si="14"/>
        <v>0</v>
      </c>
      <c r="AT121" s="79">
        <f t="shared" si="15"/>
        <v>0</v>
      </c>
      <c r="AU121" s="79">
        <f t="shared" si="16"/>
        <v>0</v>
      </c>
      <c r="AV121" s="79">
        <f t="shared" si="17"/>
        <v>0</v>
      </c>
      <c r="AW121" s="79">
        <f t="shared" si="18"/>
        <v>0</v>
      </c>
      <c r="AX121" s="79">
        <f t="shared" si="19"/>
        <v>0</v>
      </c>
      <c r="AY121" s="79">
        <f t="shared" si="20"/>
        <v>0</v>
      </c>
      <c r="AZ121" s="79">
        <f t="shared" si="21"/>
        <v>0</v>
      </c>
      <c r="BA121" s="79">
        <f t="shared" si="22"/>
        <v>0</v>
      </c>
      <c r="BB121" s="79">
        <f t="shared" si="23"/>
        <v>0</v>
      </c>
      <c r="BC121" s="79">
        <f t="shared" si="22"/>
        <v>0</v>
      </c>
      <c r="BD121" s="79">
        <f t="shared" si="23"/>
        <v>0</v>
      </c>
      <c r="BE121" s="79">
        <f t="shared" si="24"/>
        <v>0</v>
      </c>
      <c r="BF121" s="79">
        <f t="shared" si="25"/>
        <v>0</v>
      </c>
      <c r="BG121" s="79">
        <f t="shared" si="26"/>
        <v>0</v>
      </c>
      <c r="BH121" s="79">
        <f t="shared" si="27"/>
        <v>0</v>
      </c>
      <c r="BI121" s="79">
        <f t="shared" si="28"/>
        <v>0</v>
      </c>
      <c r="BJ121" s="79">
        <f t="shared" si="29"/>
        <v>0</v>
      </c>
      <c r="BK121" s="56"/>
      <c r="BL121" s="56"/>
    </row>
    <row r="122" spans="1:64" ht="41.4" x14ac:dyDescent="0.3">
      <c r="A122" s="12">
        <f>IF(ISBLANK($C122),"",MAX($A$95:$A121)+0.01)</f>
        <v>4.1299999999999972</v>
      </c>
      <c r="B122" s="65" t="s">
        <v>13</v>
      </c>
      <c r="C122" s="66" t="s">
        <v>1481</v>
      </c>
      <c r="D122" s="44"/>
      <c r="E122" s="45" t="s">
        <v>91</v>
      </c>
      <c r="F122" s="44"/>
      <c r="G122" s="45"/>
      <c r="H122" s="46" t="str">
        <f t="shared" ref="H122:H141" si="34">IFERROR(VLOOKUP($E122,$D$199:$E$203,2,FALSE)*VLOOKUP($G122,$D$206:$E$210,2,FALSE),"")</f>
        <v/>
      </c>
      <c r="I122" s="45"/>
      <c r="J122" s="46" t="str">
        <f t="shared" ref="J122:J141" si="35">IFERROR(VLOOKUP($E122,$D$199:$E$203,2,FALSE)*VLOOKUP($I122,$D$213:$E$217,2,FALSE),"")</f>
        <v/>
      </c>
      <c r="K122" s="45"/>
      <c r="L122" s="46" t="str">
        <f t="shared" ref="L122:L141" si="36">IFERROR(VLOOKUP($E122,$D$199:$E$203,2,FALSE)*VLOOKUP($K122,$D$220:$E$224,2,FALSE),"")</f>
        <v/>
      </c>
      <c r="M122" s="45"/>
      <c r="N122" s="46" t="str">
        <f t="shared" ref="N122:N141" si="37">IFERROR(VLOOKUP($E122,$D$199:$E$203,2,FALSE)*VLOOKUP($M122,$D$227:$E$231,2,FALSE),"")</f>
        <v/>
      </c>
      <c r="O122" s="44"/>
      <c r="P122" s="45"/>
      <c r="Q122" s="46" t="str">
        <f t="shared" ref="Q122:Q141" si="38">IFERROR(VLOOKUP($E122,$D$199:$E$203,2,FALSE)*VLOOKUP($P122,$D$234:$E$238,2,FALSE),"")</f>
        <v/>
      </c>
      <c r="R122" s="53" t="str">
        <f t="shared" ref="R122:R141" si="39">IF(LEFT($D$16,2)="Ja",IF(IFERROR(FIND("DS",$B122),0)&gt;0,IF(_xlfn.NUMBERVALUE($Q122)&gt;=$N$235,"Hoch",IF(_xlfn.NUMBERVALUE($Q122)&gt;=$N$234,"Mittel",IF(_xlfn.NUMBERVALUE($Q122)&gt;0,"Tief",IF($P122="N/A","","Wahl treffen")))),""),"")</f>
        <v/>
      </c>
      <c r="S122" s="43"/>
      <c r="T122" s="43"/>
      <c r="U122" s="43"/>
      <c r="W122" s="37">
        <v>0</v>
      </c>
      <c r="X122" s="37">
        <v>0</v>
      </c>
      <c r="Y122" s="37">
        <v>0</v>
      </c>
      <c r="Z122" s="37">
        <v>0</v>
      </c>
      <c r="AA122" s="37">
        <v>0</v>
      </c>
      <c r="AB122" s="38">
        <v>0</v>
      </c>
      <c r="AC122" s="38">
        <v>0</v>
      </c>
      <c r="AD122" s="38">
        <v>0</v>
      </c>
      <c r="AE122" s="38">
        <v>0</v>
      </c>
      <c r="AF122" s="38">
        <v>0</v>
      </c>
      <c r="AG122" s="36">
        <f t="shared" ref="AG122" si="40">IF($AG$100=5,SUM(AB122:AF122),IF($AG$100=4,SUM(AB122:AE122),IF($AG$100=3,SUM(AB122:AD122),IF($AG$100=2,SUM(AB122:AC122),AB122))))/$AG$100</f>
        <v>0</v>
      </c>
      <c r="AI122" s="56"/>
      <c r="AJ122" s="56"/>
      <c r="AK122" s="56"/>
      <c r="AL122" s="56"/>
      <c r="AM122" s="79">
        <f t="shared" si="10"/>
        <v>0</v>
      </c>
      <c r="AN122" s="79">
        <f t="shared" si="11"/>
        <v>0</v>
      </c>
      <c r="AO122" s="79">
        <f t="shared" si="12"/>
        <v>0</v>
      </c>
      <c r="AP122" s="79">
        <f t="shared" si="13"/>
        <v>0</v>
      </c>
      <c r="AQ122" s="79">
        <f t="shared" si="12"/>
        <v>0</v>
      </c>
      <c r="AR122" s="79">
        <f t="shared" si="13"/>
        <v>0</v>
      </c>
      <c r="AS122" s="79">
        <f t="shared" si="14"/>
        <v>0</v>
      </c>
      <c r="AT122" s="79">
        <f t="shared" si="15"/>
        <v>0</v>
      </c>
      <c r="AU122" s="79">
        <f t="shared" si="16"/>
        <v>0</v>
      </c>
      <c r="AV122" s="79">
        <f t="shared" si="17"/>
        <v>0</v>
      </c>
      <c r="AW122" s="79">
        <f t="shared" si="18"/>
        <v>0</v>
      </c>
      <c r="AX122" s="79">
        <f t="shared" si="19"/>
        <v>0</v>
      </c>
      <c r="AY122" s="79">
        <f t="shared" si="20"/>
        <v>0</v>
      </c>
      <c r="AZ122" s="79">
        <f t="shared" si="21"/>
        <v>0</v>
      </c>
      <c r="BA122" s="79">
        <f t="shared" si="22"/>
        <v>0</v>
      </c>
      <c r="BB122" s="79">
        <f t="shared" si="23"/>
        <v>0</v>
      </c>
      <c r="BC122" s="79">
        <f t="shared" si="22"/>
        <v>0</v>
      </c>
      <c r="BD122" s="79">
        <f t="shared" si="23"/>
        <v>0</v>
      </c>
      <c r="BE122" s="79">
        <f t="shared" si="24"/>
        <v>0</v>
      </c>
      <c r="BF122" s="79">
        <f t="shared" si="25"/>
        <v>0</v>
      </c>
      <c r="BG122" s="79">
        <f t="shared" si="26"/>
        <v>0</v>
      </c>
      <c r="BH122" s="79">
        <f t="shared" si="27"/>
        <v>0</v>
      </c>
      <c r="BI122" s="79">
        <f t="shared" si="28"/>
        <v>0</v>
      </c>
      <c r="BJ122" s="79">
        <f t="shared" si="29"/>
        <v>0</v>
      </c>
      <c r="BK122" s="56"/>
      <c r="BL122" s="56"/>
    </row>
    <row r="123" spans="1:64" ht="27.6" x14ac:dyDescent="0.3">
      <c r="A123" s="12">
        <f>IF(ISBLANK($C123),"",MAX($A$95:$A122)+0.01)</f>
        <v>4.139999999999997</v>
      </c>
      <c r="B123" s="65" t="s">
        <v>1472</v>
      </c>
      <c r="C123" s="66" t="s">
        <v>1482</v>
      </c>
      <c r="D123" s="44"/>
      <c r="E123" s="45" t="s">
        <v>91</v>
      </c>
      <c r="F123" s="44"/>
      <c r="G123" s="45"/>
      <c r="H123" s="46" t="str">
        <f t="shared" si="34"/>
        <v/>
      </c>
      <c r="I123" s="45"/>
      <c r="J123" s="46" t="str">
        <f t="shared" si="35"/>
        <v/>
      </c>
      <c r="K123" s="45"/>
      <c r="L123" s="46" t="str">
        <f t="shared" si="36"/>
        <v/>
      </c>
      <c r="M123" s="45"/>
      <c r="N123" s="46" t="str">
        <f t="shared" si="37"/>
        <v/>
      </c>
      <c r="O123" s="44"/>
      <c r="P123" s="45"/>
      <c r="Q123" s="46" t="str">
        <f t="shared" si="38"/>
        <v/>
      </c>
      <c r="R123" s="53" t="str">
        <f t="shared" si="39"/>
        <v/>
      </c>
      <c r="S123" s="43"/>
      <c r="T123" s="43"/>
      <c r="U123" s="43"/>
      <c r="W123" s="37">
        <v>0</v>
      </c>
      <c r="X123" s="37">
        <v>0</v>
      </c>
      <c r="Y123" s="37">
        <v>0</v>
      </c>
      <c r="Z123" s="37">
        <v>0</v>
      </c>
      <c r="AA123" s="37">
        <v>0</v>
      </c>
      <c r="AB123" s="38">
        <v>0</v>
      </c>
      <c r="AC123" s="38">
        <v>0</v>
      </c>
      <c r="AD123" s="38">
        <v>0</v>
      </c>
      <c r="AE123" s="38">
        <v>0</v>
      </c>
      <c r="AF123" s="38">
        <v>0</v>
      </c>
      <c r="AG123" s="36">
        <f t="shared" si="6"/>
        <v>0</v>
      </c>
      <c r="AI123" s="56"/>
      <c r="AJ123" s="56"/>
      <c r="AK123" s="56"/>
      <c r="AL123" s="56"/>
      <c r="AM123" s="79">
        <f t="shared" si="10"/>
        <v>0</v>
      </c>
      <c r="AN123" s="79">
        <f t="shared" si="11"/>
        <v>0</v>
      </c>
      <c r="AO123" s="79">
        <f t="shared" si="12"/>
        <v>0</v>
      </c>
      <c r="AP123" s="79">
        <f t="shared" si="13"/>
        <v>0</v>
      </c>
      <c r="AQ123" s="79">
        <f t="shared" si="12"/>
        <v>0</v>
      </c>
      <c r="AR123" s="79">
        <f t="shared" si="13"/>
        <v>0</v>
      </c>
      <c r="AS123" s="79">
        <f t="shared" si="14"/>
        <v>0</v>
      </c>
      <c r="AT123" s="79">
        <f t="shared" si="15"/>
        <v>0</v>
      </c>
      <c r="AU123" s="79">
        <f t="shared" si="16"/>
        <v>0</v>
      </c>
      <c r="AV123" s="79">
        <f t="shared" si="17"/>
        <v>0</v>
      </c>
      <c r="AW123" s="79">
        <f t="shared" si="18"/>
        <v>0</v>
      </c>
      <c r="AX123" s="79">
        <f t="shared" si="19"/>
        <v>0</v>
      </c>
      <c r="AY123" s="79">
        <f t="shared" si="20"/>
        <v>0</v>
      </c>
      <c r="AZ123" s="79">
        <f t="shared" si="21"/>
        <v>0</v>
      </c>
      <c r="BA123" s="79">
        <f t="shared" si="22"/>
        <v>0</v>
      </c>
      <c r="BB123" s="79">
        <f t="shared" si="23"/>
        <v>0</v>
      </c>
      <c r="BC123" s="79">
        <f t="shared" si="22"/>
        <v>0</v>
      </c>
      <c r="BD123" s="79">
        <f t="shared" si="23"/>
        <v>0</v>
      </c>
      <c r="BE123" s="79">
        <f t="shared" si="24"/>
        <v>0</v>
      </c>
      <c r="BF123" s="79">
        <f t="shared" si="25"/>
        <v>0</v>
      </c>
      <c r="BG123" s="79">
        <f t="shared" si="26"/>
        <v>0</v>
      </c>
      <c r="BH123" s="79">
        <f t="shared" si="27"/>
        <v>0</v>
      </c>
      <c r="BI123" s="79">
        <f t="shared" si="28"/>
        <v>0</v>
      </c>
      <c r="BJ123" s="79">
        <f t="shared" si="29"/>
        <v>0</v>
      </c>
      <c r="BK123" s="56"/>
      <c r="BL123" s="56"/>
    </row>
    <row r="124" spans="1:64" ht="41.4" x14ac:dyDescent="0.3">
      <c r="A124" s="12">
        <f>IF(ISBLANK($C124),"",MAX($A$95:$A123)+0.01)</f>
        <v>4.1499999999999968</v>
      </c>
      <c r="B124" s="65" t="s">
        <v>1473</v>
      </c>
      <c r="C124" s="66" t="s">
        <v>1483</v>
      </c>
      <c r="D124" s="44"/>
      <c r="E124" s="45" t="s">
        <v>91</v>
      </c>
      <c r="F124" s="44"/>
      <c r="G124" s="45"/>
      <c r="H124" s="46" t="str">
        <f t="shared" si="34"/>
        <v/>
      </c>
      <c r="I124" s="45"/>
      <c r="J124" s="46" t="str">
        <f t="shared" si="35"/>
        <v/>
      </c>
      <c r="K124" s="45"/>
      <c r="L124" s="46" t="str">
        <f t="shared" si="36"/>
        <v/>
      </c>
      <c r="M124" s="45"/>
      <c r="N124" s="46" t="str">
        <f t="shared" si="37"/>
        <v/>
      </c>
      <c r="O124" s="44"/>
      <c r="P124" s="45"/>
      <c r="Q124" s="46" t="str">
        <f t="shared" si="38"/>
        <v/>
      </c>
      <c r="R124" s="53" t="str">
        <f t="shared" si="39"/>
        <v>Wahl treffen</v>
      </c>
      <c r="S124" s="43"/>
      <c r="T124" s="43"/>
      <c r="U124" s="43"/>
      <c r="W124" s="37">
        <v>0</v>
      </c>
      <c r="X124" s="37">
        <v>0</v>
      </c>
      <c r="Y124" s="37">
        <v>0</v>
      </c>
      <c r="Z124" s="37">
        <v>0</v>
      </c>
      <c r="AA124" s="37">
        <v>0</v>
      </c>
      <c r="AB124" s="38">
        <v>0</v>
      </c>
      <c r="AC124" s="38">
        <v>0</v>
      </c>
      <c r="AD124" s="38">
        <v>0</v>
      </c>
      <c r="AE124" s="38">
        <v>0</v>
      </c>
      <c r="AF124" s="38">
        <v>0</v>
      </c>
      <c r="AG124" s="36">
        <f t="shared" si="6"/>
        <v>0</v>
      </c>
      <c r="AI124" s="56"/>
      <c r="AJ124" s="56"/>
      <c r="AK124" s="56"/>
      <c r="AL124" s="56"/>
      <c r="AM124" s="79">
        <f t="shared" si="10"/>
        <v>0</v>
      </c>
      <c r="AN124" s="79">
        <f t="shared" si="11"/>
        <v>0</v>
      </c>
      <c r="AO124" s="79">
        <f t="shared" si="12"/>
        <v>0</v>
      </c>
      <c r="AP124" s="79">
        <f t="shared" si="13"/>
        <v>0</v>
      </c>
      <c r="AQ124" s="79">
        <f t="shared" si="12"/>
        <v>0</v>
      </c>
      <c r="AR124" s="79">
        <f t="shared" si="13"/>
        <v>0</v>
      </c>
      <c r="AS124" s="79">
        <f t="shared" si="14"/>
        <v>0</v>
      </c>
      <c r="AT124" s="79">
        <f t="shared" si="15"/>
        <v>0</v>
      </c>
      <c r="AU124" s="79">
        <f t="shared" si="16"/>
        <v>0</v>
      </c>
      <c r="AV124" s="79">
        <f t="shared" si="17"/>
        <v>0</v>
      </c>
      <c r="AW124" s="79">
        <f t="shared" si="18"/>
        <v>0</v>
      </c>
      <c r="AX124" s="79">
        <f t="shared" si="19"/>
        <v>0</v>
      </c>
      <c r="AY124" s="79">
        <f t="shared" si="20"/>
        <v>0</v>
      </c>
      <c r="AZ124" s="79">
        <f t="shared" si="21"/>
        <v>0</v>
      </c>
      <c r="BA124" s="79">
        <f t="shared" si="22"/>
        <v>0</v>
      </c>
      <c r="BB124" s="79">
        <f t="shared" si="23"/>
        <v>0</v>
      </c>
      <c r="BC124" s="79">
        <f t="shared" si="22"/>
        <v>0</v>
      </c>
      <c r="BD124" s="79">
        <f t="shared" si="23"/>
        <v>0</v>
      </c>
      <c r="BE124" s="79">
        <f t="shared" si="24"/>
        <v>0</v>
      </c>
      <c r="BF124" s="79">
        <f t="shared" si="25"/>
        <v>0</v>
      </c>
      <c r="BG124" s="79">
        <f t="shared" si="26"/>
        <v>0</v>
      </c>
      <c r="BH124" s="79">
        <f t="shared" si="27"/>
        <v>0</v>
      </c>
      <c r="BI124" s="79">
        <f t="shared" si="28"/>
        <v>0</v>
      </c>
      <c r="BJ124" s="79">
        <f t="shared" si="29"/>
        <v>0</v>
      </c>
      <c r="BK124" s="56"/>
      <c r="BL124" s="56"/>
    </row>
    <row r="125" spans="1:64" ht="27.6" x14ac:dyDescent="0.3">
      <c r="A125" s="12">
        <f>IF(ISBLANK($C125),"",MAX($A$95:$A124)+0.01)</f>
        <v>4.1599999999999966</v>
      </c>
      <c r="B125" s="65" t="s">
        <v>13</v>
      </c>
      <c r="C125" s="66" t="s">
        <v>1484</v>
      </c>
      <c r="D125" s="44"/>
      <c r="E125" s="45" t="s">
        <v>91</v>
      </c>
      <c r="F125" s="47"/>
      <c r="G125" s="45"/>
      <c r="H125" s="46" t="str">
        <f t="shared" si="34"/>
        <v/>
      </c>
      <c r="I125" s="45"/>
      <c r="J125" s="46" t="str">
        <f t="shared" si="35"/>
        <v/>
      </c>
      <c r="K125" s="45"/>
      <c r="L125" s="46" t="str">
        <f t="shared" si="36"/>
        <v/>
      </c>
      <c r="M125" s="45"/>
      <c r="N125" s="46" t="str">
        <f t="shared" si="37"/>
        <v/>
      </c>
      <c r="O125" s="44"/>
      <c r="P125" s="45"/>
      <c r="Q125" s="46" t="str">
        <f t="shared" si="38"/>
        <v/>
      </c>
      <c r="R125" s="53" t="str">
        <f t="shared" si="39"/>
        <v/>
      </c>
      <c r="S125" s="43"/>
      <c r="T125" s="43"/>
      <c r="U125" s="43"/>
      <c r="W125" s="37">
        <v>0</v>
      </c>
      <c r="X125" s="37">
        <v>0</v>
      </c>
      <c r="Y125" s="37">
        <v>0</v>
      </c>
      <c r="Z125" s="37">
        <v>0</v>
      </c>
      <c r="AA125" s="37">
        <v>0</v>
      </c>
      <c r="AB125" s="38">
        <v>0</v>
      </c>
      <c r="AC125" s="38">
        <v>0</v>
      </c>
      <c r="AD125" s="38">
        <v>0</v>
      </c>
      <c r="AE125" s="38">
        <v>0</v>
      </c>
      <c r="AF125" s="38">
        <v>0</v>
      </c>
      <c r="AG125" s="36">
        <f t="shared" si="6"/>
        <v>0</v>
      </c>
      <c r="AI125" s="56"/>
      <c r="AJ125" s="56"/>
      <c r="AK125" s="56"/>
      <c r="AL125" s="56"/>
      <c r="AM125" s="79">
        <f t="shared" si="10"/>
        <v>0</v>
      </c>
      <c r="AN125" s="79">
        <f t="shared" si="11"/>
        <v>0</v>
      </c>
      <c r="AO125" s="79">
        <f t="shared" si="12"/>
        <v>0</v>
      </c>
      <c r="AP125" s="79">
        <f t="shared" si="13"/>
        <v>0</v>
      </c>
      <c r="AQ125" s="79">
        <f t="shared" si="12"/>
        <v>0</v>
      </c>
      <c r="AR125" s="79">
        <f t="shared" si="13"/>
        <v>0</v>
      </c>
      <c r="AS125" s="79">
        <f t="shared" si="14"/>
        <v>0</v>
      </c>
      <c r="AT125" s="79">
        <f t="shared" si="15"/>
        <v>0</v>
      </c>
      <c r="AU125" s="79">
        <f t="shared" si="16"/>
        <v>0</v>
      </c>
      <c r="AV125" s="79">
        <f t="shared" si="17"/>
        <v>0</v>
      </c>
      <c r="AW125" s="79">
        <f t="shared" si="18"/>
        <v>0</v>
      </c>
      <c r="AX125" s="79">
        <f t="shared" si="19"/>
        <v>0</v>
      </c>
      <c r="AY125" s="79">
        <f t="shared" si="20"/>
        <v>0</v>
      </c>
      <c r="AZ125" s="79">
        <f t="shared" si="21"/>
        <v>0</v>
      </c>
      <c r="BA125" s="79">
        <f t="shared" si="22"/>
        <v>0</v>
      </c>
      <c r="BB125" s="79">
        <f t="shared" si="23"/>
        <v>0</v>
      </c>
      <c r="BC125" s="79">
        <f t="shared" si="22"/>
        <v>0</v>
      </c>
      <c r="BD125" s="79">
        <f t="shared" si="23"/>
        <v>0</v>
      </c>
      <c r="BE125" s="79">
        <f t="shared" si="24"/>
        <v>0</v>
      </c>
      <c r="BF125" s="79">
        <f t="shared" si="25"/>
        <v>0</v>
      </c>
      <c r="BG125" s="79">
        <f t="shared" si="26"/>
        <v>0</v>
      </c>
      <c r="BH125" s="79">
        <f t="shared" si="27"/>
        <v>0</v>
      </c>
      <c r="BI125" s="79">
        <f t="shared" si="28"/>
        <v>0</v>
      </c>
      <c r="BJ125" s="79">
        <f t="shared" si="29"/>
        <v>0</v>
      </c>
      <c r="BK125" s="56"/>
      <c r="BL125" s="56"/>
    </row>
    <row r="126" spans="1:64" ht="27.6" x14ac:dyDescent="0.3">
      <c r="A126" s="12">
        <f>IF(ISBLANK($C126),"",MAX($A$95:$A125)+0.01)</f>
        <v>4.1699999999999964</v>
      </c>
      <c r="B126" s="69" t="s">
        <v>1472</v>
      </c>
      <c r="C126" s="70" t="s">
        <v>1485</v>
      </c>
      <c r="D126" s="44"/>
      <c r="E126" s="45" t="s">
        <v>91</v>
      </c>
      <c r="F126" s="47"/>
      <c r="G126" s="45"/>
      <c r="H126" s="46" t="str">
        <f t="shared" si="34"/>
        <v/>
      </c>
      <c r="I126" s="45"/>
      <c r="J126" s="46" t="str">
        <f t="shared" si="35"/>
        <v/>
      </c>
      <c r="K126" s="45"/>
      <c r="L126" s="46" t="str">
        <f t="shared" si="36"/>
        <v/>
      </c>
      <c r="M126" s="45"/>
      <c r="N126" s="46" t="str">
        <f t="shared" si="37"/>
        <v/>
      </c>
      <c r="O126" s="44"/>
      <c r="P126" s="45"/>
      <c r="Q126" s="46" t="str">
        <f t="shared" si="38"/>
        <v/>
      </c>
      <c r="R126" s="53" t="str">
        <f t="shared" si="39"/>
        <v/>
      </c>
      <c r="S126" s="43"/>
      <c r="T126" s="43"/>
      <c r="U126" s="43"/>
      <c r="W126" s="37">
        <v>0</v>
      </c>
      <c r="X126" s="37">
        <v>0</v>
      </c>
      <c r="Y126" s="37">
        <v>0</v>
      </c>
      <c r="Z126" s="37">
        <v>0</v>
      </c>
      <c r="AA126" s="37">
        <v>0</v>
      </c>
      <c r="AB126" s="38">
        <v>0</v>
      </c>
      <c r="AC126" s="38">
        <v>0</v>
      </c>
      <c r="AD126" s="38">
        <v>0</v>
      </c>
      <c r="AE126" s="38">
        <v>0</v>
      </c>
      <c r="AF126" s="38">
        <v>0</v>
      </c>
      <c r="AG126" s="36">
        <f t="shared" si="6"/>
        <v>0</v>
      </c>
      <c r="AI126" s="56"/>
      <c r="AJ126" s="56"/>
      <c r="AK126" s="56"/>
      <c r="AL126" s="56"/>
      <c r="AM126" s="79">
        <f t="shared" si="10"/>
        <v>0</v>
      </c>
      <c r="AN126" s="79">
        <f t="shared" si="11"/>
        <v>0</v>
      </c>
      <c r="AO126" s="79">
        <f t="shared" si="12"/>
        <v>0</v>
      </c>
      <c r="AP126" s="79">
        <f t="shared" si="13"/>
        <v>0</v>
      </c>
      <c r="AQ126" s="79">
        <f t="shared" si="12"/>
        <v>0</v>
      </c>
      <c r="AR126" s="79">
        <f t="shared" si="13"/>
        <v>0</v>
      </c>
      <c r="AS126" s="79">
        <f t="shared" si="14"/>
        <v>0</v>
      </c>
      <c r="AT126" s="79">
        <f t="shared" si="15"/>
        <v>0</v>
      </c>
      <c r="AU126" s="79">
        <f t="shared" si="16"/>
        <v>0</v>
      </c>
      <c r="AV126" s="79">
        <f t="shared" si="17"/>
        <v>0</v>
      </c>
      <c r="AW126" s="79">
        <f t="shared" si="18"/>
        <v>0</v>
      </c>
      <c r="AX126" s="79">
        <f t="shared" si="19"/>
        <v>0</v>
      </c>
      <c r="AY126" s="79">
        <f t="shared" si="20"/>
        <v>0</v>
      </c>
      <c r="AZ126" s="79">
        <f t="shared" si="21"/>
        <v>0</v>
      </c>
      <c r="BA126" s="79">
        <f t="shared" si="22"/>
        <v>0</v>
      </c>
      <c r="BB126" s="79">
        <f t="shared" si="23"/>
        <v>0</v>
      </c>
      <c r="BC126" s="79">
        <f t="shared" si="22"/>
        <v>0</v>
      </c>
      <c r="BD126" s="79">
        <f t="shared" si="23"/>
        <v>0</v>
      </c>
      <c r="BE126" s="79">
        <f t="shared" si="24"/>
        <v>0</v>
      </c>
      <c r="BF126" s="79">
        <f t="shared" si="25"/>
        <v>0</v>
      </c>
      <c r="BG126" s="79">
        <f t="shared" si="26"/>
        <v>0</v>
      </c>
      <c r="BH126" s="79">
        <f t="shared" si="27"/>
        <v>0</v>
      </c>
      <c r="BI126" s="79">
        <f t="shared" si="28"/>
        <v>0</v>
      </c>
      <c r="BJ126" s="79">
        <f t="shared" si="29"/>
        <v>0</v>
      </c>
      <c r="BK126" s="56"/>
      <c r="BL126" s="56"/>
    </row>
    <row r="127" spans="1:64" ht="55.2" x14ac:dyDescent="0.3">
      <c r="A127" s="12">
        <f>IF(ISBLANK($C127),"",MAX($A$95:$A126)+0.01)</f>
        <v>4.1799999999999962</v>
      </c>
      <c r="B127" s="69" t="s">
        <v>1473</v>
      </c>
      <c r="C127" s="70" t="s">
        <v>1478</v>
      </c>
      <c r="D127" s="44"/>
      <c r="E127" s="45" t="s">
        <v>91</v>
      </c>
      <c r="F127" s="47"/>
      <c r="G127" s="45"/>
      <c r="H127" s="46" t="str">
        <f t="shared" si="34"/>
        <v/>
      </c>
      <c r="I127" s="45"/>
      <c r="J127" s="46" t="str">
        <f t="shared" si="35"/>
        <v/>
      </c>
      <c r="K127" s="45"/>
      <c r="L127" s="46" t="str">
        <f t="shared" si="36"/>
        <v/>
      </c>
      <c r="M127" s="45"/>
      <c r="N127" s="46" t="str">
        <f t="shared" si="37"/>
        <v/>
      </c>
      <c r="O127" s="44"/>
      <c r="P127" s="45"/>
      <c r="Q127" s="46" t="str">
        <f t="shared" si="38"/>
        <v/>
      </c>
      <c r="R127" s="53" t="str">
        <f t="shared" si="39"/>
        <v>Wahl treffen</v>
      </c>
      <c r="S127" s="43"/>
      <c r="T127" s="43"/>
      <c r="U127" s="43"/>
      <c r="W127" s="37">
        <v>0</v>
      </c>
      <c r="X127" s="37">
        <v>0</v>
      </c>
      <c r="Y127" s="37">
        <v>0</v>
      </c>
      <c r="Z127" s="37">
        <v>0</v>
      </c>
      <c r="AA127" s="37">
        <v>0</v>
      </c>
      <c r="AB127" s="38">
        <v>0</v>
      </c>
      <c r="AC127" s="38">
        <v>0</v>
      </c>
      <c r="AD127" s="38">
        <v>0</v>
      </c>
      <c r="AE127" s="38">
        <v>0</v>
      </c>
      <c r="AF127" s="38">
        <v>0</v>
      </c>
      <c r="AG127" s="36">
        <f t="shared" ref="AG127" si="41">IF($AG$100=5,SUM(AB127:AF127),IF($AG$100=4,SUM(AB127:AE127),IF($AG$100=3,SUM(AB127:AD127),IF($AG$100=2,SUM(AB127:AC127),AB127))))/$AG$100</f>
        <v>0</v>
      </c>
      <c r="AI127" s="56"/>
      <c r="AJ127" s="56"/>
      <c r="AK127" s="56"/>
      <c r="AL127" s="56"/>
      <c r="AM127" s="79">
        <f t="shared" si="10"/>
        <v>0</v>
      </c>
      <c r="AN127" s="79">
        <f t="shared" si="11"/>
        <v>0</v>
      </c>
      <c r="AO127" s="79">
        <f t="shared" si="12"/>
        <v>0</v>
      </c>
      <c r="AP127" s="79">
        <f t="shared" si="13"/>
        <v>0</v>
      </c>
      <c r="AQ127" s="79">
        <f t="shared" si="12"/>
        <v>0</v>
      </c>
      <c r="AR127" s="79">
        <f t="shared" si="13"/>
        <v>0</v>
      </c>
      <c r="AS127" s="79">
        <f t="shared" si="14"/>
        <v>0</v>
      </c>
      <c r="AT127" s="79">
        <f t="shared" si="15"/>
        <v>0</v>
      </c>
      <c r="AU127" s="79">
        <f t="shared" si="16"/>
        <v>0</v>
      </c>
      <c r="AV127" s="79">
        <f t="shared" si="17"/>
        <v>0</v>
      </c>
      <c r="AW127" s="79">
        <f t="shared" si="18"/>
        <v>0</v>
      </c>
      <c r="AX127" s="79">
        <f t="shared" si="19"/>
        <v>0</v>
      </c>
      <c r="AY127" s="79">
        <f t="shared" si="20"/>
        <v>0</v>
      </c>
      <c r="AZ127" s="79">
        <f t="shared" si="21"/>
        <v>0</v>
      </c>
      <c r="BA127" s="79">
        <f t="shared" si="22"/>
        <v>0</v>
      </c>
      <c r="BB127" s="79">
        <f t="shared" si="23"/>
        <v>0</v>
      </c>
      <c r="BC127" s="79">
        <f t="shared" si="22"/>
        <v>0</v>
      </c>
      <c r="BD127" s="79">
        <f t="shared" si="23"/>
        <v>0</v>
      </c>
      <c r="BE127" s="79">
        <f t="shared" si="24"/>
        <v>0</v>
      </c>
      <c r="BF127" s="79">
        <f t="shared" si="25"/>
        <v>0</v>
      </c>
      <c r="BG127" s="79">
        <f t="shared" si="26"/>
        <v>0</v>
      </c>
      <c r="BH127" s="79">
        <f t="shared" si="27"/>
        <v>0</v>
      </c>
      <c r="BI127" s="79">
        <f t="shared" si="28"/>
        <v>0</v>
      </c>
      <c r="BJ127" s="79">
        <f t="shared" si="29"/>
        <v>0</v>
      </c>
      <c r="BK127" s="56"/>
      <c r="BL127" s="56"/>
    </row>
    <row r="128" spans="1:64" ht="41.4" x14ac:dyDescent="0.3">
      <c r="A128" s="12">
        <f>IF(ISBLANK($C128),"",MAX($A$95:$A127)+0.01)</f>
        <v>4.1899999999999959</v>
      </c>
      <c r="B128" s="69" t="s">
        <v>1473</v>
      </c>
      <c r="C128" s="70" t="s">
        <v>1486</v>
      </c>
      <c r="D128" s="44"/>
      <c r="E128" s="45" t="s">
        <v>91</v>
      </c>
      <c r="F128" s="47"/>
      <c r="G128" s="45"/>
      <c r="H128" s="46" t="str">
        <f t="shared" si="34"/>
        <v/>
      </c>
      <c r="I128" s="45"/>
      <c r="J128" s="46" t="str">
        <f t="shared" si="35"/>
        <v/>
      </c>
      <c r="K128" s="45"/>
      <c r="L128" s="46" t="str">
        <f t="shared" si="36"/>
        <v/>
      </c>
      <c r="M128" s="45"/>
      <c r="N128" s="46" t="str">
        <f t="shared" si="37"/>
        <v/>
      </c>
      <c r="O128" s="44"/>
      <c r="P128" s="45"/>
      <c r="Q128" s="46" t="str">
        <f t="shared" si="38"/>
        <v/>
      </c>
      <c r="R128" s="53" t="str">
        <f t="shared" si="39"/>
        <v>Wahl treffen</v>
      </c>
      <c r="S128" s="43"/>
      <c r="T128" s="43"/>
      <c r="U128" s="43"/>
      <c r="W128" s="37">
        <v>0</v>
      </c>
      <c r="X128" s="37">
        <v>0</v>
      </c>
      <c r="Y128" s="37">
        <v>0</v>
      </c>
      <c r="Z128" s="37">
        <v>0</v>
      </c>
      <c r="AA128" s="37">
        <v>0</v>
      </c>
      <c r="AB128" s="38">
        <v>0</v>
      </c>
      <c r="AC128" s="38">
        <v>0</v>
      </c>
      <c r="AD128" s="38">
        <v>0</v>
      </c>
      <c r="AE128" s="38">
        <v>0</v>
      </c>
      <c r="AF128" s="38">
        <v>0</v>
      </c>
      <c r="AG128" s="36">
        <f t="shared" si="6"/>
        <v>0</v>
      </c>
      <c r="AI128" s="56"/>
      <c r="AJ128" s="56"/>
      <c r="AK128" s="56"/>
      <c r="AL128" s="56"/>
      <c r="AM128" s="79">
        <f t="shared" si="10"/>
        <v>0</v>
      </c>
      <c r="AN128" s="79">
        <f t="shared" si="11"/>
        <v>0</v>
      </c>
      <c r="AO128" s="79">
        <f t="shared" si="12"/>
        <v>0</v>
      </c>
      <c r="AP128" s="79">
        <f t="shared" si="13"/>
        <v>0</v>
      </c>
      <c r="AQ128" s="79">
        <f t="shared" si="12"/>
        <v>0</v>
      </c>
      <c r="AR128" s="79">
        <f t="shared" si="13"/>
        <v>0</v>
      </c>
      <c r="AS128" s="79">
        <f t="shared" si="14"/>
        <v>0</v>
      </c>
      <c r="AT128" s="79">
        <f t="shared" si="15"/>
        <v>0</v>
      </c>
      <c r="AU128" s="79">
        <f t="shared" si="16"/>
        <v>0</v>
      </c>
      <c r="AV128" s="79">
        <f t="shared" si="17"/>
        <v>0</v>
      </c>
      <c r="AW128" s="79">
        <f t="shared" si="18"/>
        <v>0</v>
      </c>
      <c r="AX128" s="79">
        <f t="shared" si="19"/>
        <v>0</v>
      </c>
      <c r="AY128" s="79">
        <f t="shared" si="20"/>
        <v>0</v>
      </c>
      <c r="AZ128" s="79">
        <f t="shared" si="21"/>
        <v>0</v>
      </c>
      <c r="BA128" s="79">
        <f t="shared" si="22"/>
        <v>0</v>
      </c>
      <c r="BB128" s="79">
        <f t="shared" si="23"/>
        <v>0</v>
      </c>
      <c r="BC128" s="79">
        <f t="shared" si="22"/>
        <v>0</v>
      </c>
      <c r="BD128" s="79">
        <f t="shared" si="23"/>
        <v>0</v>
      </c>
      <c r="BE128" s="79">
        <f t="shared" si="24"/>
        <v>0</v>
      </c>
      <c r="BF128" s="79">
        <f t="shared" si="25"/>
        <v>0</v>
      </c>
      <c r="BG128" s="79">
        <f t="shared" si="26"/>
        <v>0</v>
      </c>
      <c r="BH128" s="79">
        <f t="shared" si="27"/>
        <v>0</v>
      </c>
      <c r="BI128" s="79">
        <f t="shared" si="28"/>
        <v>0</v>
      </c>
      <c r="BJ128" s="79">
        <f t="shared" si="29"/>
        <v>0</v>
      </c>
      <c r="BK128" s="56"/>
      <c r="BL128" s="56"/>
    </row>
    <row r="129" spans="1:64" ht="55.2" x14ac:dyDescent="0.3">
      <c r="A129" s="12">
        <f>IF(ISBLANK($C129),"",MAX($A$95:$A128)+0.01)</f>
        <v>4.1999999999999957</v>
      </c>
      <c r="B129" s="69" t="s">
        <v>1474</v>
      </c>
      <c r="C129" s="70" t="s">
        <v>1479</v>
      </c>
      <c r="D129" s="44"/>
      <c r="E129" s="45" t="s">
        <v>91</v>
      </c>
      <c r="F129" s="44"/>
      <c r="G129" s="45"/>
      <c r="H129" s="46" t="str">
        <f t="shared" si="34"/>
        <v/>
      </c>
      <c r="I129" s="45"/>
      <c r="J129" s="46" t="str">
        <f t="shared" si="35"/>
        <v/>
      </c>
      <c r="K129" s="45"/>
      <c r="L129" s="46" t="str">
        <f t="shared" si="36"/>
        <v/>
      </c>
      <c r="M129" s="45"/>
      <c r="N129" s="46" t="str">
        <f t="shared" si="37"/>
        <v/>
      </c>
      <c r="O129" s="44"/>
      <c r="P129" s="45"/>
      <c r="Q129" s="46" t="str">
        <f t="shared" si="38"/>
        <v/>
      </c>
      <c r="R129" s="53" t="str">
        <f t="shared" si="39"/>
        <v/>
      </c>
      <c r="S129" s="43"/>
      <c r="T129" s="43"/>
      <c r="U129" s="43"/>
      <c r="W129" s="37">
        <v>0</v>
      </c>
      <c r="X129" s="37">
        <v>0</v>
      </c>
      <c r="Y129" s="37">
        <v>0</v>
      </c>
      <c r="Z129" s="37">
        <v>0</v>
      </c>
      <c r="AA129" s="37">
        <v>0</v>
      </c>
      <c r="AB129" s="38">
        <v>0</v>
      </c>
      <c r="AC129" s="38">
        <v>0</v>
      </c>
      <c r="AD129" s="38">
        <v>0</v>
      </c>
      <c r="AE129" s="38">
        <v>0</v>
      </c>
      <c r="AF129" s="38">
        <v>0</v>
      </c>
      <c r="AG129" s="36">
        <f t="shared" si="6"/>
        <v>0</v>
      </c>
      <c r="AI129" s="56"/>
      <c r="AJ129" s="56"/>
      <c r="AK129" s="56"/>
      <c r="AL129" s="56"/>
      <c r="AM129" s="79">
        <f t="shared" si="10"/>
        <v>0</v>
      </c>
      <c r="AN129" s="79">
        <f t="shared" si="11"/>
        <v>0</v>
      </c>
      <c r="AO129" s="79">
        <f t="shared" si="12"/>
        <v>0</v>
      </c>
      <c r="AP129" s="79">
        <f t="shared" si="13"/>
        <v>0</v>
      </c>
      <c r="AQ129" s="79">
        <f t="shared" si="12"/>
        <v>0</v>
      </c>
      <c r="AR129" s="79">
        <f t="shared" si="13"/>
        <v>0</v>
      </c>
      <c r="AS129" s="79">
        <f t="shared" si="14"/>
        <v>0</v>
      </c>
      <c r="AT129" s="79">
        <f t="shared" si="15"/>
        <v>0</v>
      </c>
      <c r="AU129" s="79">
        <f t="shared" si="16"/>
        <v>0</v>
      </c>
      <c r="AV129" s="79">
        <f t="shared" si="17"/>
        <v>0</v>
      </c>
      <c r="AW129" s="79">
        <f t="shared" si="18"/>
        <v>0</v>
      </c>
      <c r="AX129" s="79">
        <f t="shared" si="19"/>
        <v>0</v>
      </c>
      <c r="AY129" s="79">
        <f t="shared" si="20"/>
        <v>0</v>
      </c>
      <c r="AZ129" s="79">
        <f t="shared" si="21"/>
        <v>0</v>
      </c>
      <c r="BA129" s="79">
        <f t="shared" si="22"/>
        <v>0</v>
      </c>
      <c r="BB129" s="79">
        <f t="shared" si="23"/>
        <v>0</v>
      </c>
      <c r="BC129" s="79">
        <f t="shared" si="22"/>
        <v>0</v>
      </c>
      <c r="BD129" s="79">
        <f t="shared" si="23"/>
        <v>0</v>
      </c>
      <c r="BE129" s="79">
        <f t="shared" si="24"/>
        <v>0</v>
      </c>
      <c r="BF129" s="79">
        <f t="shared" si="25"/>
        <v>0</v>
      </c>
      <c r="BG129" s="79">
        <f t="shared" si="26"/>
        <v>0</v>
      </c>
      <c r="BH129" s="79">
        <f t="shared" si="27"/>
        <v>0</v>
      </c>
      <c r="BI129" s="79">
        <f t="shared" si="28"/>
        <v>0</v>
      </c>
      <c r="BJ129" s="79">
        <f t="shared" si="29"/>
        <v>0</v>
      </c>
      <c r="BK129" s="56"/>
      <c r="BL129" s="56"/>
    </row>
    <row r="130" spans="1:64" ht="41.4" x14ac:dyDescent="0.3">
      <c r="A130" s="12">
        <f>IF(ISBLANK($C130),"",MAX($A$95:$A129)+0.01)</f>
        <v>4.2099999999999955</v>
      </c>
      <c r="B130" s="69" t="s">
        <v>1444</v>
      </c>
      <c r="C130" s="70" t="s">
        <v>1487</v>
      </c>
      <c r="D130" s="44"/>
      <c r="E130" s="45" t="s">
        <v>91</v>
      </c>
      <c r="F130" s="44"/>
      <c r="G130" s="45"/>
      <c r="H130" s="46" t="str">
        <f t="shared" si="34"/>
        <v/>
      </c>
      <c r="I130" s="45"/>
      <c r="J130" s="46" t="str">
        <f t="shared" si="35"/>
        <v/>
      </c>
      <c r="K130" s="45"/>
      <c r="L130" s="46" t="str">
        <f t="shared" si="36"/>
        <v/>
      </c>
      <c r="M130" s="45"/>
      <c r="N130" s="46" t="str">
        <f t="shared" si="37"/>
        <v/>
      </c>
      <c r="O130" s="44"/>
      <c r="P130" s="45"/>
      <c r="Q130" s="46" t="str">
        <f t="shared" si="38"/>
        <v/>
      </c>
      <c r="R130" s="53" t="str">
        <f t="shared" si="39"/>
        <v>Wahl treffen</v>
      </c>
      <c r="S130" s="43"/>
      <c r="T130" s="43"/>
      <c r="U130" s="43"/>
      <c r="W130" s="37">
        <v>0</v>
      </c>
      <c r="X130" s="37">
        <v>0</v>
      </c>
      <c r="Y130" s="37">
        <v>0</v>
      </c>
      <c r="Z130" s="37">
        <v>0</v>
      </c>
      <c r="AA130" s="37">
        <v>0</v>
      </c>
      <c r="AB130" s="38">
        <v>0</v>
      </c>
      <c r="AC130" s="38">
        <v>0</v>
      </c>
      <c r="AD130" s="38">
        <v>0</v>
      </c>
      <c r="AE130" s="38">
        <v>0</v>
      </c>
      <c r="AF130" s="38">
        <v>0</v>
      </c>
      <c r="AG130" s="36">
        <f t="shared" si="6"/>
        <v>0</v>
      </c>
      <c r="AI130" s="56"/>
      <c r="AJ130" s="56"/>
      <c r="AK130" s="56"/>
      <c r="AL130" s="56"/>
      <c r="AM130" s="79">
        <f t="shared" si="10"/>
        <v>0</v>
      </c>
      <c r="AN130" s="79">
        <f t="shared" si="11"/>
        <v>0</v>
      </c>
      <c r="AO130" s="79">
        <f t="shared" si="12"/>
        <v>0</v>
      </c>
      <c r="AP130" s="79">
        <f t="shared" si="13"/>
        <v>0</v>
      </c>
      <c r="AQ130" s="79">
        <f t="shared" si="12"/>
        <v>0</v>
      </c>
      <c r="AR130" s="79">
        <f t="shared" si="13"/>
        <v>0</v>
      </c>
      <c r="AS130" s="79">
        <f t="shared" si="14"/>
        <v>0</v>
      </c>
      <c r="AT130" s="79">
        <f t="shared" si="15"/>
        <v>0</v>
      </c>
      <c r="AU130" s="79">
        <f t="shared" si="16"/>
        <v>0</v>
      </c>
      <c r="AV130" s="79">
        <f t="shared" si="17"/>
        <v>0</v>
      </c>
      <c r="AW130" s="79">
        <f t="shared" si="18"/>
        <v>0</v>
      </c>
      <c r="AX130" s="79">
        <f t="shared" si="19"/>
        <v>0</v>
      </c>
      <c r="AY130" s="79">
        <f t="shared" si="20"/>
        <v>0</v>
      </c>
      <c r="AZ130" s="79">
        <f t="shared" si="21"/>
        <v>0</v>
      </c>
      <c r="BA130" s="79">
        <f t="shared" si="22"/>
        <v>0</v>
      </c>
      <c r="BB130" s="79">
        <f t="shared" si="23"/>
        <v>0</v>
      </c>
      <c r="BC130" s="79">
        <f t="shared" si="22"/>
        <v>0</v>
      </c>
      <c r="BD130" s="79">
        <f t="shared" si="23"/>
        <v>0</v>
      </c>
      <c r="BE130" s="79">
        <f t="shared" si="24"/>
        <v>0</v>
      </c>
      <c r="BF130" s="79">
        <f t="shared" si="25"/>
        <v>0</v>
      </c>
      <c r="BG130" s="79">
        <f t="shared" si="26"/>
        <v>0</v>
      </c>
      <c r="BH130" s="79">
        <f t="shared" si="27"/>
        <v>0</v>
      </c>
      <c r="BI130" s="79">
        <f t="shared" si="28"/>
        <v>0</v>
      </c>
      <c r="BJ130" s="79">
        <f t="shared" si="29"/>
        <v>0</v>
      </c>
      <c r="BK130" s="56"/>
      <c r="BL130" s="56"/>
    </row>
    <row r="131" spans="1:64" ht="55.2" x14ac:dyDescent="0.3">
      <c r="A131" s="12">
        <f>IF(ISBLANK($C131),"",MAX($A$95:$A130)+0.01)</f>
        <v>4.2199999999999953</v>
      </c>
      <c r="B131" s="69" t="s">
        <v>1445</v>
      </c>
      <c r="C131" s="70" t="s">
        <v>1488</v>
      </c>
      <c r="D131" s="44"/>
      <c r="E131" s="45" t="s">
        <v>91</v>
      </c>
      <c r="F131" s="44"/>
      <c r="G131" s="45"/>
      <c r="H131" s="46" t="str">
        <f t="shared" si="34"/>
        <v/>
      </c>
      <c r="I131" s="45"/>
      <c r="J131" s="46" t="str">
        <f t="shared" si="35"/>
        <v/>
      </c>
      <c r="K131" s="45"/>
      <c r="L131" s="46" t="str">
        <f t="shared" si="36"/>
        <v/>
      </c>
      <c r="M131" s="45"/>
      <c r="N131" s="46" t="str">
        <f t="shared" si="37"/>
        <v/>
      </c>
      <c r="O131" s="44"/>
      <c r="P131" s="45"/>
      <c r="Q131" s="46" t="str">
        <f t="shared" si="38"/>
        <v/>
      </c>
      <c r="R131" s="53" t="str">
        <f t="shared" si="39"/>
        <v/>
      </c>
      <c r="S131" s="43"/>
      <c r="T131" s="43"/>
      <c r="U131" s="43"/>
      <c r="W131" s="37">
        <v>0</v>
      </c>
      <c r="X131" s="37">
        <v>0</v>
      </c>
      <c r="Y131" s="37">
        <v>0</v>
      </c>
      <c r="Z131" s="37">
        <v>0</v>
      </c>
      <c r="AA131" s="37">
        <v>0</v>
      </c>
      <c r="AB131" s="38">
        <v>0</v>
      </c>
      <c r="AC131" s="38">
        <v>0</v>
      </c>
      <c r="AD131" s="38">
        <v>0</v>
      </c>
      <c r="AE131" s="38">
        <v>0</v>
      </c>
      <c r="AF131" s="38">
        <v>0</v>
      </c>
      <c r="AG131" s="36">
        <f t="shared" si="6"/>
        <v>0</v>
      </c>
      <c r="AI131" s="56"/>
      <c r="AJ131" s="56"/>
      <c r="AK131" s="56"/>
      <c r="AL131" s="56"/>
      <c r="AM131" s="79">
        <f t="shared" si="10"/>
        <v>0</v>
      </c>
      <c r="AN131" s="79">
        <f t="shared" si="11"/>
        <v>0</v>
      </c>
      <c r="AO131" s="79">
        <f t="shared" si="12"/>
        <v>0</v>
      </c>
      <c r="AP131" s="79">
        <f t="shared" si="13"/>
        <v>0</v>
      </c>
      <c r="AQ131" s="79">
        <f t="shared" si="12"/>
        <v>0</v>
      </c>
      <c r="AR131" s="79">
        <f t="shared" si="13"/>
        <v>0</v>
      </c>
      <c r="AS131" s="79">
        <f t="shared" si="14"/>
        <v>0</v>
      </c>
      <c r="AT131" s="79">
        <f t="shared" si="15"/>
        <v>0</v>
      </c>
      <c r="AU131" s="79">
        <f t="shared" si="16"/>
        <v>0</v>
      </c>
      <c r="AV131" s="79">
        <f t="shared" si="17"/>
        <v>0</v>
      </c>
      <c r="AW131" s="79">
        <f t="shared" si="18"/>
        <v>0</v>
      </c>
      <c r="AX131" s="79">
        <f t="shared" si="19"/>
        <v>0</v>
      </c>
      <c r="AY131" s="79">
        <f t="shared" si="20"/>
        <v>0</v>
      </c>
      <c r="AZ131" s="79">
        <f t="shared" si="21"/>
        <v>0</v>
      </c>
      <c r="BA131" s="79">
        <f t="shared" si="22"/>
        <v>0</v>
      </c>
      <c r="BB131" s="79">
        <f t="shared" si="23"/>
        <v>0</v>
      </c>
      <c r="BC131" s="79">
        <f t="shared" si="22"/>
        <v>0</v>
      </c>
      <c r="BD131" s="79">
        <f t="shared" si="23"/>
        <v>0</v>
      </c>
      <c r="BE131" s="79">
        <f t="shared" si="24"/>
        <v>0</v>
      </c>
      <c r="BF131" s="79">
        <f t="shared" si="25"/>
        <v>0</v>
      </c>
      <c r="BG131" s="79">
        <f t="shared" si="26"/>
        <v>0</v>
      </c>
      <c r="BH131" s="79">
        <f t="shared" si="27"/>
        <v>0</v>
      </c>
      <c r="BI131" s="79">
        <f t="shared" si="28"/>
        <v>0</v>
      </c>
      <c r="BJ131" s="79">
        <f t="shared" si="29"/>
        <v>0</v>
      </c>
      <c r="BK131" s="56"/>
      <c r="BL131" s="56"/>
    </row>
    <row r="132" spans="1:64" ht="82.8" x14ac:dyDescent="0.3">
      <c r="A132" s="12">
        <f>IF(ISBLANK($C132),"",MAX($A$95:$A131)+0.01)</f>
        <v>4.2299999999999951</v>
      </c>
      <c r="B132" s="69" t="s">
        <v>1475</v>
      </c>
      <c r="C132" s="70" t="s">
        <v>1489</v>
      </c>
      <c r="D132" s="44"/>
      <c r="E132" s="45" t="s">
        <v>91</v>
      </c>
      <c r="F132" s="44"/>
      <c r="G132" s="45"/>
      <c r="H132" s="46" t="str">
        <f t="shared" si="34"/>
        <v/>
      </c>
      <c r="I132" s="45"/>
      <c r="J132" s="46" t="str">
        <f t="shared" si="35"/>
        <v/>
      </c>
      <c r="K132" s="45"/>
      <c r="L132" s="46" t="str">
        <f t="shared" si="36"/>
        <v/>
      </c>
      <c r="M132" s="45"/>
      <c r="N132" s="46" t="str">
        <f t="shared" si="37"/>
        <v/>
      </c>
      <c r="O132" s="44"/>
      <c r="P132" s="45"/>
      <c r="Q132" s="46" t="str">
        <f t="shared" si="38"/>
        <v/>
      </c>
      <c r="R132" s="53" t="str">
        <f t="shared" si="39"/>
        <v/>
      </c>
      <c r="S132" s="43"/>
      <c r="T132" s="43"/>
      <c r="U132" s="43"/>
      <c r="W132" s="37">
        <v>0</v>
      </c>
      <c r="X132" s="37">
        <v>0</v>
      </c>
      <c r="Y132" s="37">
        <v>0</v>
      </c>
      <c r="Z132" s="37">
        <v>0</v>
      </c>
      <c r="AA132" s="37">
        <v>0</v>
      </c>
      <c r="AB132" s="38">
        <v>0</v>
      </c>
      <c r="AC132" s="38">
        <v>0</v>
      </c>
      <c r="AD132" s="38">
        <v>0</v>
      </c>
      <c r="AE132" s="38">
        <v>0</v>
      </c>
      <c r="AF132" s="38">
        <v>0</v>
      </c>
      <c r="AG132" s="36">
        <f t="shared" si="6"/>
        <v>0</v>
      </c>
      <c r="AI132" s="56"/>
      <c r="AJ132" s="56"/>
      <c r="AK132" s="56"/>
      <c r="AL132" s="56"/>
      <c r="AM132" s="79">
        <f t="shared" si="10"/>
        <v>0</v>
      </c>
      <c r="AN132" s="79">
        <f t="shared" si="11"/>
        <v>0</v>
      </c>
      <c r="AO132" s="79">
        <f t="shared" si="12"/>
        <v>0</v>
      </c>
      <c r="AP132" s="79">
        <f t="shared" si="13"/>
        <v>0</v>
      </c>
      <c r="AQ132" s="79">
        <f t="shared" si="12"/>
        <v>0</v>
      </c>
      <c r="AR132" s="79">
        <f t="shared" si="13"/>
        <v>0</v>
      </c>
      <c r="AS132" s="79">
        <f t="shared" si="14"/>
        <v>0</v>
      </c>
      <c r="AT132" s="79">
        <f t="shared" si="15"/>
        <v>0</v>
      </c>
      <c r="AU132" s="79">
        <f t="shared" si="16"/>
        <v>0</v>
      </c>
      <c r="AV132" s="79">
        <f t="shared" si="17"/>
        <v>0</v>
      </c>
      <c r="AW132" s="79">
        <f t="shared" si="18"/>
        <v>0</v>
      </c>
      <c r="AX132" s="79">
        <f t="shared" si="19"/>
        <v>0</v>
      </c>
      <c r="AY132" s="79">
        <f t="shared" si="20"/>
        <v>0</v>
      </c>
      <c r="AZ132" s="79">
        <f t="shared" si="21"/>
        <v>0</v>
      </c>
      <c r="BA132" s="79">
        <f t="shared" si="22"/>
        <v>0</v>
      </c>
      <c r="BB132" s="79">
        <f t="shared" si="23"/>
        <v>0</v>
      </c>
      <c r="BC132" s="79">
        <f t="shared" si="22"/>
        <v>0</v>
      </c>
      <c r="BD132" s="79">
        <f t="shared" si="23"/>
        <v>0</v>
      </c>
      <c r="BE132" s="79">
        <f t="shared" si="24"/>
        <v>0</v>
      </c>
      <c r="BF132" s="79">
        <f t="shared" si="25"/>
        <v>0</v>
      </c>
      <c r="BG132" s="79">
        <f t="shared" si="26"/>
        <v>0</v>
      </c>
      <c r="BH132" s="79">
        <f t="shared" si="27"/>
        <v>0</v>
      </c>
      <c r="BI132" s="79">
        <f t="shared" si="28"/>
        <v>0</v>
      </c>
      <c r="BJ132" s="79">
        <f t="shared" si="29"/>
        <v>0</v>
      </c>
      <c r="BK132" s="56"/>
      <c r="BL132" s="56"/>
    </row>
    <row r="133" spans="1:64" ht="55.2" x14ac:dyDescent="0.3">
      <c r="A133" s="12">
        <f>IF(ISBLANK($C133),"",MAX($A$95:$A132)+0.01)</f>
        <v>4.2399999999999949</v>
      </c>
      <c r="B133" s="69" t="s">
        <v>1476</v>
      </c>
      <c r="C133" s="70" t="s">
        <v>1480</v>
      </c>
      <c r="D133" s="44"/>
      <c r="E133" s="45" t="s">
        <v>91</v>
      </c>
      <c r="F133" s="44"/>
      <c r="G133" s="45"/>
      <c r="H133" s="46" t="str">
        <f t="shared" si="34"/>
        <v/>
      </c>
      <c r="I133" s="45"/>
      <c r="J133" s="46" t="str">
        <f t="shared" si="35"/>
        <v/>
      </c>
      <c r="K133" s="45"/>
      <c r="L133" s="46" t="str">
        <f t="shared" si="36"/>
        <v/>
      </c>
      <c r="M133" s="45"/>
      <c r="N133" s="46" t="str">
        <f t="shared" si="37"/>
        <v/>
      </c>
      <c r="O133" s="44"/>
      <c r="P133" s="45"/>
      <c r="Q133" s="46" t="str">
        <f t="shared" si="38"/>
        <v/>
      </c>
      <c r="R133" s="53" t="str">
        <f t="shared" si="39"/>
        <v/>
      </c>
      <c r="S133" s="43"/>
      <c r="T133" s="43"/>
      <c r="U133" s="43"/>
      <c r="W133" s="37">
        <v>0</v>
      </c>
      <c r="X133" s="37">
        <v>0</v>
      </c>
      <c r="Y133" s="37">
        <v>0</v>
      </c>
      <c r="Z133" s="37">
        <v>0</v>
      </c>
      <c r="AA133" s="37">
        <v>0</v>
      </c>
      <c r="AB133" s="38">
        <v>0</v>
      </c>
      <c r="AC133" s="38">
        <v>0</v>
      </c>
      <c r="AD133" s="38">
        <v>0</v>
      </c>
      <c r="AE133" s="38">
        <v>0</v>
      </c>
      <c r="AF133" s="38">
        <v>0</v>
      </c>
      <c r="AG133" s="36">
        <f t="shared" ref="AG133" si="42">IF($AG$100=5,SUM(AB133:AF133),IF($AG$100=4,SUM(AB133:AE133),IF($AG$100=3,SUM(AB133:AD133),IF($AG$100=2,SUM(AB133:AC133),AB133))))/$AG$100</f>
        <v>0</v>
      </c>
      <c r="AI133" s="56"/>
      <c r="AJ133" s="56"/>
      <c r="AK133" s="56"/>
      <c r="AL133" s="56"/>
      <c r="AM133" s="79">
        <f t="shared" si="10"/>
        <v>0</v>
      </c>
      <c r="AN133" s="79">
        <f t="shared" si="11"/>
        <v>0</v>
      </c>
      <c r="AO133" s="79">
        <f t="shared" si="12"/>
        <v>0</v>
      </c>
      <c r="AP133" s="79">
        <f t="shared" si="13"/>
        <v>0</v>
      </c>
      <c r="AQ133" s="79">
        <f t="shared" si="12"/>
        <v>0</v>
      </c>
      <c r="AR133" s="79">
        <f t="shared" si="13"/>
        <v>0</v>
      </c>
      <c r="AS133" s="79">
        <f t="shared" si="14"/>
        <v>0</v>
      </c>
      <c r="AT133" s="79">
        <f t="shared" si="15"/>
        <v>0</v>
      </c>
      <c r="AU133" s="79">
        <f t="shared" si="16"/>
        <v>0</v>
      </c>
      <c r="AV133" s="79">
        <f t="shared" si="17"/>
        <v>0</v>
      </c>
      <c r="AW133" s="79">
        <f t="shared" si="18"/>
        <v>0</v>
      </c>
      <c r="AX133" s="79">
        <f t="shared" si="19"/>
        <v>0</v>
      </c>
      <c r="AY133" s="79">
        <f t="shared" si="20"/>
        <v>0</v>
      </c>
      <c r="AZ133" s="79">
        <f t="shared" si="21"/>
        <v>0</v>
      </c>
      <c r="BA133" s="79">
        <f t="shared" si="22"/>
        <v>0</v>
      </c>
      <c r="BB133" s="79">
        <f t="shared" si="23"/>
        <v>0</v>
      </c>
      <c r="BC133" s="79">
        <f t="shared" si="22"/>
        <v>0</v>
      </c>
      <c r="BD133" s="79">
        <f t="shared" si="23"/>
        <v>0</v>
      </c>
      <c r="BE133" s="79">
        <f t="shared" si="24"/>
        <v>0</v>
      </c>
      <c r="BF133" s="79">
        <f t="shared" si="25"/>
        <v>0</v>
      </c>
      <c r="BG133" s="79">
        <f t="shared" si="26"/>
        <v>0</v>
      </c>
      <c r="BH133" s="79">
        <f t="shared" si="27"/>
        <v>0</v>
      </c>
      <c r="BI133" s="79">
        <f t="shared" si="28"/>
        <v>0</v>
      </c>
      <c r="BJ133" s="79">
        <f t="shared" si="29"/>
        <v>0</v>
      </c>
      <c r="BK133" s="56"/>
      <c r="BL133" s="56"/>
    </row>
    <row r="134" spans="1:64" ht="82.8" x14ac:dyDescent="0.3">
      <c r="A134" s="12">
        <f>IF(ISBLANK($C134),"",MAX($A$95:$A133)+0.01)</f>
        <v>4.2499999999999947</v>
      </c>
      <c r="B134" s="69" t="s">
        <v>1477</v>
      </c>
      <c r="C134" s="70" t="s">
        <v>1490</v>
      </c>
      <c r="D134" s="44"/>
      <c r="E134" s="45" t="s">
        <v>91</v>
      </c>
      <c r="F134" s="44"/>
      <c r="G134" s="45"/>
      <c r="H134" s="46" t="str">
        <f t="shared" si="34"/>
        <v/>
      </c>
      <c r="I134" s="45"/>
      <c r="J134" s="46" t="str">
        <f t="shared" si="35"/>
        <v/>
      </c>
      <c r="K134" s="45"/>
      <c r="L134" s="46" t="str">
        <f t="shared" si="36"/>
        <v/>
      </c>
      <c r="M134" s="45"/>
      <c r="N134" s="46" t="str">
        <f t="shared" si="37"/>
        <v/>
      </c>
      <c r="O134" s="44"/>
      <c r="P134" s="45"/>
      <c r="Q134" s="46" t="str">
        <f t="shared" si="38"/>
        <v/>
      </c>
      <c r="R134" s="53" t="str">
        <f t="shared" si="39"/>
        <v/>
      </c>
      <c r="S134" s="43"/>
      <c r="T134" s="43"/>
      <c r="U134" s="43"/>
      <c r="W134" s="37">
        <v>0</v>
      </c>
      <c r="X134" s="37">
        <v>0</v>
      </c>
      <c r="Y134" s="37">
        <v>0</v>
      </c>
      <c r="Z134" s="37">
        <v>0</v>
      </c>
      <c r="AA134" s="37">
        <v>0</v>
      </c>
      <c r="AB134" s="38">
        <v>0</v>
      </c>
      <c r="AC134" s="38">
        <v>0</v>
      </c>
      <c r="AD134" s="38">
        <v>0</v>
      </c>
      <c r="AE134" s="38">
        <v>0</v>
      </c>
      <c r="AF134" s="38">
        <v>0</v>
      </c>
      <c r="AG134" s="36">
        <f t="shared" si="6"/>
        <v>0</v>
      </c>
      <c r="AI134" s="56"/>
      <c r="AJ134" s="56"/>
      <c r="AK134" s="56"/>
      <c r="AL134" s="56"/>
      <c r="AM134" s="79">
        <f t="shared" si="10"/>
        <v>0</v>
      </c>
      <c r="AN134" s="79">
        <f t="shared" si="11"/>
        <v>0</v>
      </c>
      <c r="AO134" s="79">
        <f t="shared" si="12"/>
        <v>0</v>
      </c>
      <c r="AP134" s="79">
        <f t="shared" si="13"/>
        <v>0</v>
      </c>
      <c r="AQ134" s="79">
        <f t="shared" si="12"/>
        <v>0</v>
      </c>
      <c r="AR134" s="79">
        <f t="shared" si="13"/>
        <v>0</v>
      </c>
      <c r="AS134" s="79">
        <f t="shared" si="14"/>
        <v>0</v>
      </c>
      <c r="AT134" s="79">
        <f t="shared" si="15"/>
        <v>0</v>
      </c>
      <c r="AU134" s="79">
        <f t="shared" si="16"/>
        <v>0</v>
      </c>
      <c r="AV134" s="79">
        <f t="shared" si="17"/>
        <v>0</v>
      </c>
      <c r="AW134" s="79">
        <f t="shared" si="18"/>
        <v>0</v>
      </c>
      <c r="AX134" s="79">
        <f t="shared" si="19"/>
        <v>0</v>
      </c>
      <c r="AY134" s="79">
        <f t="shared" si="20"/>
        <v>0</v>
      </c>
      <c r="AZ134" s="79">
        <f t="shared" si="21"/>
        <v>0</v>
      </c>
      <c r="BA134" s="79">
        <f t="shared" si="22"/>
        <v>0</v>
      </c>
      <c r="BB134" s="79">
        <f t="shared" si="23"/>
        <v>0</v>
      </c>
      <c r="BC134" s="79">
        <f t="shared" si="22"/>
        <v>0</v>
      </c>
      <c r="BD134" s="79">
        <f t="shared" si="23"/>
        <v>0</v>
      </c>
      <c r="BE134" s="79">
        <f t="shared" si="24"/>
        <v>0</v>
      </c>
      <c r="BF134" s="79">
        <f t="shared" si="25"/>
        <v>0</v>
      </c>
      <c r="BG134" s="79">
        <f t="shared" si="26"/>
        <v>0</v>
      </c>
      <c r="BH134" s="79">
        <f t="shared" si="27"/>
        <v>0</v>
      </c>
      <c r="BI134" s="79">
        <f t="shared" si="28"/>
        <v>0</v>
      </c>
      <c r="BJ134" s="79">
        <f t="shared" si="29"/>
        <v>0</v>
      </c>
      <c r="BK134" s="56"/>
      <c r="BL134" s="56"/>
    </row>
    <row r="135" spans="1:64" ht="41.4" x14ac:dyDescent="0.3">
      <c r="A135" s="12">
        <f>IF(ISBLANK($C135),"",MAX($A$95:$A134)+0.01)</f>
        <v>4.2599999999999945</v>
      </c>
      <c r="B135" s="69" t="s">
        <v>1476</v>
      </c>
      <c r="C135" s="70" t="s">
        <v>1491</v>
      </c>
      <c r="D135" s="44"/>
      <c r="E135" s="45" t="s">
        <v>91</v>
      </c>
      <c r="F135" s="44"/>
      <c r="G135" s="45"/>
      <c r="H135" s="46" t="str">
        <f t="shared" si="34"/>
        <v/>
      </c>
      <c r="I135" s="45"/>
      <c r="J135" s="46" t="str">
        <f t="shared" si="35"/>
        <v/>
      </c>
      <c r="K135" s="45"/>
      <c r="L135" s="46" t="str">
        <f t="shared" si="36"/>
        <v/>
      </c>
      <c r="M135" s="45"/>
      <c r="N135" s="46" t="str">
        <f t="shared" si="37"/>
        <v/>
      </c>
      <c r="O135" s="44"/>
      <c r="P135" s="45"/>
      <c r="Q135" s="46" t="str">
        <f t="shared" si="38"/>
        <v/>
      </c>
      <c r="R135" s="53" t="str">
        <f t="shared" si="39"/>
        <v/>
      </c>
      <c r="S135" s="43"/>
      <c r="T135" s="43"/>
      <c r="U135" s="43"/>
      <c r="W135" s="37">
        <v>0</v>
      </c>
      <c r="X135" s="37">
        <v>0</v>
      </c>
      <c r="Y135" s="37">
        <v>0</v>
      </c>
      <c r="Z135" s="37">
        <v>0</v>
      </c>
      <c r="AA135" s="37">
        <v>0</v>
      </c>
      <c r="AB135" s="38">
        <v>0</v>
      </c>
      <c r="AC135" s="38">
        <v>0</v>
      </c>
      <c r="AD135" s="38">
        <v>0</v>
      </c>
      <c r="AE135" s="38">
        <v>0</v>
      </c>
      <c r="AF135" s="38">
        <v>0</v>
      </c>
      <c r="AG135" s="36">
        <f t="shared" ref="AG135" si="43">IF($AG$100=5,SUM(AB135:AF135),IF($AG$100=4,SUM(AB135:AE135),IF($AG$100=3,SUM(AB135:AD135),IF($AG$100=2,SUM(AB135:AC135),AB135))))/$AG$100</f>
        <v>0</v>
      </c>
      <c r="AI135" s="56"/>
      <c r="AJ135" s="56"/>
      <c r="AK135" s="56"/>
      <c r="AL135" s="56"/>
      <c r="AM135" s="79">
        <f t="shared" si="10"/>
        <v>0</v>
      </c>
      <c r="AN135" s="79">
        <f t="shared" si="11"/>
        <v>0</v>
      </c>
      <c r="AO135" s="79">
        <f t="shared" si="12"/>
        <v>0</v>
      </c>
      <c r="AP135" s="79">
        <f t="shared" si="13"/>
        <v>0</v>
      </c>
      <c r="AQ135" s="79">
        <f t="shared" si="12"/>
        <v>0</v>
      </c>
      <c r="AR135" s="79">
        <f t="shared" si="13"/>
        <v>0</v>
      </c>
      <c r="AS135" s="79">
        <f t="shared" si="14"/>
        <v>0</v>
      </c>
      <c r="AT135" s="79">
        <f t="shared" si="15"/>
        <v>0</v>
      </c>
      <c r="AU135" s="79">
        <f t="shared" si="16"/>
        <v>0</v>
      </c>
      <c r="AV135" s="79">
        <f t="shared" si="17"/>
        <v>0</v>
      </c>
      <c r="AW135" s="79">
        <f t="shared" si="18"/>
        <v>0</v>
      </c>
      <c r="AX135" s="79">
        <f t="shared" si="19"/>
        <v>0</v>
      </c>
      <c r="AY135" s="79">
        <f t="shared" si="20"/>
        <v>0</v>
      </c>
      <c r="AZ135" s="79">
        <f t="shared" si="21"/>
        <v>0</v>
      </c>
      <c r="BA135" s="79">
        <f t="shared" si="22"/>
        <v>0</v>
      </c>
      <c r="BB135" s="79">
        <f t="shared" si="23"/>
        <v>0</v>
      </c>
      <c r="BC135" s="79">
        <f t="shared" si="22"/>
        <v>0</v>
      </c>
      <c r="BD135" s="79">
        <f t="shared" si="23"/>
        <v>0</v>
      </c>
      <c r="BE135" s="79">
        <f t="shared" si="24"/>
        <v>0</v>
      </c>
      <c r="BF135" s="79">
        <f t="shared" si="25"/>
        <v>0</v>
      </c>
      <c r="BG135" s="79">
        <f t="shared" si="26"/>
        <v>0</v>
      </c>
      <c r="BH135" s="79">
        <f t="shared" si="27"/>
        <v>0</v>
      </c>
      <c r="BI135" s="79">
        <f t="shared" si="28"/>
        <v>0</v>
      </c>
      <c r="BJ135" s="79">
        <f t="shared" si="29"/>
        <v>0</v>
      </c>
      <c r="BK135" s="56"/>
      <c r="BL135" s="56"/>
    </row>
    <row r="136" spans="1:64" ht="69" x14ac:dyDescent="0.3">
      <c r="A136" s="12">
        <f>IF(ISBLANK($C136),"",MAX($A$95:$A135)+0.01)</f>
        <v>4.2699999999999942</v>
      </c>
      <c r="B136" s="69" t="s">
        <v>1475</v>
      </c>
      <c r="C136" s="70" t="s">
        <v>1492</v>
      </c>
      <c r="D136" s="44"/>
      <c r="E136" s="45" t="s">
        <v>91</v>
      </c>
      <c r="F136" s="44"/>
      <c r="G136" s="45"/>
      <c r="H136" s="46" t="str">
        <f t="shared" si="34"/>
        <v/>
      </c>
      <c r="I136" s="45"/>
      <c r="J136" s="46" t="str">
        <f t="shared" si="35"/>
        <v/>
      </c>
      <c r="K136" s="45"/>
      <c r="L136" s="46" t="str">
        <f t="shared" si="36"/>
        <v/>
      </c>
      <c r="M136" s="45"/>
      <c r="N136" s="46" t="str">
        <f t="shared" si="37"/>
        <v/>
      </c>
      <c r="O136" s="44"/>
      <c r="P136" s="45"/>
      <c r="Q136" s="46" t="str">
        <f t="shared" si="38"/>
        <v/>
      </c>
      <c r="R136" s="53" t="str">
        <f t="shared" si="39"/>
        <v/>
      </c>
      <c r="S136" s="43"/>
      <c r="T136" s="43"/>
      <c r="U136" s="43"/>
      <c r="W136" s="37">
        <v>0</v>
      </c>
      <c r="X136" s="37">
        <v>0</v>
      </c>
      <c r="Y136" s="37">
        <v>0</v>
      </c>
      <c r="Z136" s="37">
        <v>0</v>
      </c>
      <c r="AA136" s="37">
        <v>0</v>
      </c>
      <c r="AB136" s="38">
        <v>0</v>
      </c>
      <c r="AC136" s="38">
        <v>0</v>
      </c>
      <c r="AD136" s="38">
        <v>0</v>
      </c>
      <c r="AE136" s="38">
        <v>0</v>
      </c>
      <c r="AF136" s="38">
        <v>0</v>
      </c>
      <c r="AG136" s="36">
        <f t="shared" si="6"/>
        <v>0</v>
      </c>
      <c r="AI136" s="56"/>
      <c r="AJ136" s="56"/>
      <c r="AK136" s="56"/>
      <c r="AL136" s="56"/>
      <c r="AM136" s="79">
        <f t="shared" si="10"/>
        <v>0</v>
      </c>
      <c r="AN136" s="79">
        <f t="shared" si="11"/>
        <v>0</v>
      </c>
      <c r="AO136" s="79">
        <f t="shared" si="12"/>
        <v>0</v>
      </c>
      <c r="AP136" s="79">
        <f t="shared" si="13"/>
        <v>0</v>
      </c>
      <c r="AQ136" s="79">
        <f t="shared" si="12"/>
        <v>0</v>
      </c>
      <c r="AR136" s="79">
        <f t="shared" si="13"/>
        <v>0</v>
      </c>
      <c r="AS136" s="79">
        <f t="shared" si="14"/>
        <v>0</v>
      </c>
      <c r="AT136" s="79">
        <f t="shared" si="15"/>
        <v>0</v>
      </c>
      <c r="AU136" s="79">
        <f t="shared" si="16"/>
        <v>0</v>
      </c>
      <c r="AV136" s="79">
        <f t="shared" si="17"/>
        <v>0</v>
      </c>
      <c r="AW136" s="79">
        <f t="shared" si="18"/>
        <v>0</v>
      </c>
      <c r="AX136" s="79">
        <f t="shared" si="19"/>
        <v>0</v>
      </c>
      <c r="AY136" s="79">
        <f t="shared" si="20"/>
        <v>0</v>
      </c>
      <c r="AZ136" s="79">
        <f t="shared" si="21"/>
        <v>0</v>
      </c>
      <c r="BA136" s="79">
        <f t="shared" si="22"/>
        <v>0</v>
      </c>
      <c r="BB136" s="79">
        <f t="shared" si="23"/>
        <v>0</v>
      </c>
      <c r="BC136" s="79">
        <f t="shared" si="22"/>
        <v>0</v>
      </c>
      <c r="BD136" s="79">
        <f t="shared" si="23"/>
        <v>0</v>
      </c>
      <c r="BE136" s="79">
        <f t="shared" si="24"/>
        <v>0</v>
      </c>
      <c r="BF136" s="79">
        <f t="shared" si="25"/>
        <v>0</v>
      </c>
      <c r="BG136" s="79">
        <f t="shared" si="26"/>
        <v>0</v>
      </c>
      <c r="BH136" s="79">
        <f t="shared" si="27"/>
        <v>0</v>
      </c>
      <c r="BI136" s="79">
        <f t="shared" si="28"/>
        <v>0</v>
      </c>
      <c r="BJ136" s="79">
        <f t="shared" si="29"/>
        <v>0</v>
      </c>
      <c r="BK136" s="56"/>
      <c r="BL136" s="56"/>
    </row>
    <row r="137" spans="1:64" ht="27.6" x14ac:dyDescent="0.3">
      <c r="A137" s="12">
        <f>IF(ISBLANK($C137),"",MAX($A$95:$A136)+0.01)</f>
        <v>4.279999999999994</v>
      </c>
      <c r="B137" s="69" t="s">
        <v>1475</v>
      </c>
      <c r="C137" s="70" t="s">
        <v>1493</v>
      </c>
      <c r="D137" s="44"/>
      <c r="E137" s="45" t="s">
        <v>91</v>
      </c>
      <c r="F137" s="44"/>
      <c r="G137" s="45"/>
      <c r="H137" s="46" t="str">
        <f t="shared" si="34"/>
        <v/>
      </c>
      <c r="I137" s="45"/>
      <c r="J137" s="46" t="str">
        <f t="shared" si="35"/>
        <v/>
      </c>
      <c r="K137" s="45"/>
      <c r="L137" s="46" t="str">
        <f t="shared" si="36"/>
        <v/>
      </c>
      <c r="M137" s="45"/>
      <c r="N137" s="46" t="str">
        <f t="shared" si="37"/>
        <v/>
      </c>
      <c r="O137" s="44"/>
      <c r="P137" s="45"/>
      <c r="Q137" s="46" t="str">
        <f t="shared" si="38"/>
        <v/>
      </c>
      <c r="R137" s="53" t="str">
        <f t="shared" si="39"/>
        <v/>
      </c>
      <c r="S137" s="43"/>
      <c r="T137" s="43"/>
      <c r="U137" s="43"/>
      <c r="W137" s="37">
        <v>0</v>
      </c>
      <c r="X137" s="37">
        <v>0</v>
      </c>
      <c r="Y137" s="37">
        <v>0</v>
      </c>
      <c r="Z137" s="37">
        <v>0</v>
      </c>
      <c r="AA137" s="37">
        <v>0</v>
      </c>
      <c r="AB137" s="38">
        <v>0</v>
      </c>
      <c r="AC137" s="38">
        <v>0</v>
      </c>
      <c r="AD137" s="38">
        <v>0</v>
      </c>
      <c r="AE137" s="38">
        <v>0</v>
      </c>
      <c r="AF137" s="38">
        <v>0</v>
      </c>
      <c r="AG137" s="36">
        <f t="shared" ref="AG137" si="44">IF($AG$100=5,SUM(AB137:AF137),IF($AG$100=4,SUM(AB137:AE137),IF($AG$100=3,SUM(AB137:AD137),IF($AG$100=2,SUM(AB137:AC137),AB137))))/$AG$100</f>
        <v>0</v>
      </c>
      <c r="AI137" s="56"/>
      <c r="AJ137" s="56"/>
      <c r="AK137" s="56"/>
      <c r="AL137" s="56"/>
      <c r="AM137" s="79">
        <f t="shared" si="10"/>
        <v>0</v>
      </c>
      <c r="AN137" s="79">
        <f t="shared" si="11"/>
        <v>0</v>
      </c>
      <c r="AO137" s="79">
        <f t="shared" si="12"/>
        <v>0</v>
      </c>
      <c r="AP137" s="79">
        <f t="shared" si="13"/>
        <v>0</v>
      </c>
      <c r="AQ137" s="79">
        <f t="shared" si="12"/>
        <v>0</v>
      </c>
      <c r="AR137" s="79">
        <f t="shared" si="13"/>
        <v>0</v>
      </c>
      <c r="AS137" s="79">
        <f t="shared" si="14"/>
        <v>0</v>
      </c>
      <c r="AT137" s="79">
        <f t="shared" si="15"/>
        <v>0</v>
      </c>
      <c r="AU137" s="79">
        <f t="shared" si="16"/>
        <v>0</v>
      </c>
      <c r="AV137" s="79">
        <f t="shared" si="17"/>
        <v>0</v>
      </c>
      <c r="AW137" s="79">
        <f t="shared" si="18"/>
        <v>0</v>
      </c>
      <c r="AX137" s="79">
        <f t="shared" si="19"/>
        <v>0</v>
      </c>
      <c r="AY137" s="79">
        <f t="shared" si="20"/>
        <v>0</v>
      </c>
      <c r="AZ137" s="79">
        <f t="shared" si="21"/>
        <v>0</v>
      </c>
      <c r="BA137" s="79">
        <f t="shared" si="22"/>
        <v>0</v>
      </c>
      <c r="BB137" s="79">
        <f t="shared" si="23"/>
        <v>0</v>
      </c>
      <c r="BC137" s="79">
        <f t="shared" si="22"/>
        <v>0</v>
      </c>
      <c r="BD137" s="79">
        <f t="shared" si="23"/>
        <v>0</v>
      </c>
      <c r="BE137" s="79">
        <f t="shared" si="24"/>
        <v>0</v>
      </c>
      <c r="BF137" s="79">
        <f t="shared" si="25"/>
        <v>0</v>
      </c>
      <c r="BG137" s="79">
        <f t="shared" si="26"/>
        <v>0</v>
      </c>
      <c r="BH137" s="79">
        <f t="shared" si="27"/>
        <v>0</v>
      </c>
      <c r="BI137" s="79">
        <f t="shared" si="28"/>
        <v>0</v>
      </c>
      <c r="BJ137" s="79">
        <f t="shared" si="29"/>
        <v>0</v>
      </c>
      <c r="BK137" s="56"/>
      <c r="BL137" s="56"/>
    </row>
    <row r="138" spans="1:64" x14ac:dyDescent="0.3">
      <c r="A138" s="12" t="str">
        <f>IF(ISBLANK($C138),"",MAX($A$95:$A136)+0.01)</f>
        <v/>
      </c>
      <c r="B138" s="52"/>
      <c r="C138" s="48"/>
      <c r="D138" s="44"/>
      <c r="E138" s="45"/>
      <c r="F138" s="47"/>
      <c r="G138" s="45"/>
      <c r="H138" s="46" t="str">
        <f t="shared" si="34"/>
        <v/>
      </c>
      <c r="I138" s="45"/>
      <c r="J138" s="46" t="str">
        <f t="shared" si="35"/>
        <v/>
      </c>
      <c r="K138" s="45"/>
      <c r="L138" s="46" t="str">
        <f t="shared" si="36"/>
        <v/>
      </c>
      <c r="M138" s="45"/>
      <c r="N138" s="46" t="str">
        <f t="shared" si="37"/>
        <v/>
      </c>
      <c r="O138" s="44"/>
      <c r="P138" s="45"/>
      <c r="Q138" s="46" t="str">
        <f t="shared" si="38"/>
        <v/>
      </c>
      <c r="R138" s="53" t="str">
        <f t="shared" si="39"/>
        <v/>
      </c>
      <c r="S138" s="43"/>
      <c r="T138" s="43"/>
      <c r="U138" s="43"/>
      <c r="W138" s="37">
        <v>0</v>
      </c>
      <c r="X138" s="37">
        <v>0</v>
      </c>
      <c r="Y138" s="37">
        <v>0</v>
      </c>
      <c r="Z138" s="37">
        <v>0</v>
      </c>
      <c r="AA138" s="37">
        <v>0</v>
      </c>
      <c r="AB138" s="38">
        <v>0</v>
      </c>
      <c r="AC138" s="38">
        <v>0</v>
      </c>
      <c r="AD138" s="38">
        <v>0</v>
      </c>
      <c r="AE138" s="38">
        <v>0</v>
      </c>
      <c r="AF138" s="38">
        <v>0</v>
      </c>
      <c r="AG138" s="36">
        <f t="shared" si="6"/>
        <v>0</v>
      </c>
      <c r="AI138" s="56"/>
      <c r="AJ138" s="56"/>
      <c r="AK138" s="56"/>
      <c r="AL138" s="56"/>
      <c r="AM138" s="79">
        <f t="shared" si="10"/>
        <v>0</v>
      </c>
      <c r="AN138" s="79">
        <f t="shared" si="11"/>
        <v>0</v>
      </c>
      <c r="AO138" s="79">
        <f t="shared" si="12"/>
        <v>0</v>
      </c>
      <c r="AP138" s="79">
        <f t="shared" si="13"/>
        <v>0</v>
      </c>
      <c r="AQ138" s="79">
        <f t="shared" si="12"/>
        <v>0</v>
      </c>
      <c r="AR138" s="79">
        <f t="shared" si="13"/>
        <v>0</v>
      </c>
      <c r="AS138" s="79">
        <f t="shared" si="14"/>
        <v>0</v>
      </c>
      <c r="AT138" s="79">
        <f t="shared" si="15"/>
        <v>0</v>
      </c>
      <c r="AU138" s="79">
        <f t="shared" si="16"/>
        <v>0</v>
      </c>
      <c r="AV138" s="79">
        <f t="shared" si="17"/>
        <v>0</v>
      </c>
      <c r="AW138" s="79">
        <f t="shared" si="18"/>
        <v>0</v>
      </c>
      <c r="AX138" s="79">
        <f t="shared" si="19"/>
        <v>0</v>
      </c>
      <c r="AY138" s="79">
        <f t="shared" si="20"/>
        <v>0</v>
      </c>
      <c r="AZ138" s="79">
        <f t="shared" si="21"/>
        <v>0</v>
      </c>
      <c r="BA138" s="79">
        <f t="shared" si="22"/>
        <v>0</v>
      </c>
      <c r="BB138" s="79">
        <f t="shared" si="23"/>
        <v>0</v>
      </c>
      <c r="BC138" s="79">
        <f t="shared" si="22"/>
        <v>0</v>
      </c>
      <c r="BD138" s="79">
        <f t="shared" si="23"/>
        <v>0</v>
      </c>
      <c r="BE138" s="79">
        <f t="shared" si="24"/>
        <v>0</v>
      </c>
      <c r="BF138" s="79">
        <f t="shared" si="25"/>
        <v>0</v>
      </c>
      <c r="BG138" s="79">
        <f t="shared" si="26"/>
        <v>0</v>
      </c>
      <c r="BH138" s="79">
        <f t="shared" si="27"/>
        <v>0</v>
      </c>
      <c r="BI138" s="79">
        <f t="shared" si="28"/>
        <v>0</v>
      </c>
      <c r="BJ138" s="79">
        <f t="shared" si="29"/>
        <v>0</v>
      </c>
      <c r="BK138" s="56"/>
      <c r="BL138" s="56"/>
    </row>
    <row r="139" spans="1:64" x14ac:dyDescent="0.3">
      <c r="A139" s="12" t="str">
        <f>IF(ISBLANK($C139),"",MAX($A$95:$A138)+0.01)</f>
        <v/>
      </c>
      <c r="B139" s="52"/>
      <c r="C139" s="48"/>
      <c r="D139" s="44"/>
      <c r="E139" s="45"/>
      <c r="F139" s="47"/>
      <c r="G139" s="45"/>
      <c r="H139" s="46" t="str">
        <f t="shared" si="34"/>
        <v/>
      </c>
      <c r="I139" s="45"/>
      <c r="J139" s="46" t="str">
        <f t="shared" si="35"/>
        <v/>
      </c>
      <c r="K139" s="45"/>
      <c r="L139" s="46" t="str">
        <f t="shared" si="36"/>
        <v/>
      </c>
      <c r="M139" s="45"/>
      <c r="N139" s="46" t="str">
        <f t="shared" si="37"/>
        <v/>
      </c>
      <c r="O139" s="44"/>
      <c r="P139" s="45"/>
      <c r="Q139" s="46" t="str">
        <f t="shared" si="38"/>
        <v/>
      </c>
      <c r="R139" s="53" t="str">
        <f t="shared" si="39"/>
        <v/>
      </c>
      <c r="S139" s="43"/>
      <c r="T139" s="43"/>
      <c r="U139" s="43"/>
      <c r="W139" s="37">
        <v>0</v>
      </c>
      <c r="X139" s="37">
        <v>0</v>
      </c>
      <c r="Y139" s="37">
        <v>0</v>
      </c>
      <c r="Z139" s="37">
        <v>0</v>
      </c>
      <c r="AA139" s="37">
        <v>0</v>
      </c>
      <c r="AB139" s="38">
        <v>0</v>
      </c>
      <c r="AC139" s="38">
        <v>0</v>
      </c>
      <c r="AD139" s="38">
        <v>0</v>
      </c>
      <c r="AE139" s="38">
        <v>0</v>
      </c>
      <c r="AF139" s="38">
        <v>0</v>
      </c>
      <c r="AG139" s="36">
        <f t="shared" si="6"/>
        <v>0</v>
      </c>
      <c r="AI139" s="56"/>
      <c r="AJ139" s="56"/>
      <c r="AK139" s="56"/>
      <c r="AL139" s="56"/>
      <c r="AM139" s="79">
        <f t="shared" si="10"/>
        <v>0</v>
      </c>
      <c r="AN139" s="79">
        <f t="shared" si="11"/>
        <v>0</v>
      </c>
      <c r="AO139" s="79">
        <f t="shared" si="12"/>
        <v>0</v>
      </c>
      <c r="AP139" s="79">
        <f t="shared" si="13"/>
        <v>0</v>
      </c>
      <c r="AQ139" s="79">
        <f t="shared" si="12"/>
        <v>0</v>
      </c>
      <c r="AR139" s="79">
        <f t="shared" si="13"/>
        <v>0</v>
      </c>
      <c r="AS139" s="79">
        <f t="shared" si="14"/>
        <v>0</v>
      </c>
      <c r="AT139" s="79">
        <f t="shared" si="15"/>
        <v>0</v>
      </c>
      <c r="AU139" s="79">
        <f t="shared" si="16"/>
        <v>0</v>
      </c>
      <c r="AV139" s="79">
        <f t="shared" si="17"/>
        <v>0</v>
      </c>
      <c r="AW139" s="79">
        <f t="shared" si="18"/>
        <v>0</v>
      </c>
      <c r="AX139" s="79">
        <f t="shared" si="19"/>
        <v>0</v>
      </c>
      <c r="AY139" s="79">
        <f t="shared" si="20"/>
        <v>0</v>
      </c>
      <c r="AZ139" s="79">
        <f t="shared" si="21"/>
        <v>0</v>
      </c>
      <c r="BA139" s="79">
        <f t="shared" si="22"/>
        <v>0</v>
      </c>
      <c r="BB139" s="79">
        <f t="shared" si="23"/>
        <v>0</v>
      </c>
      <c r="BC139" s="79">
        <f t="shared" si="22"/>
        <v>0</v>
      </c>
      <c r="BD139" s="79">
        <f t="shared" si="23"/>
        <v>0</v>
      </c>
      <c r="BE139" s="79">
        <f t="shared" si="24"/>
        <v>0</v>
      </c>
      <c r="BF139" s="79">
        <f t="shared" si="25"/>
        <v>0</v>
      </c>
      <c r="BG139" s="79">
        <f t="shared" si="26"/>
        <v>0</v>
      </c>
      <c r="BH139" s="79">
        <f t="shared" si="27"/>
        <v>0</v>
      </c>
      <c r="BI139" s="79">
        <f t="shared" si="28"/>
        <v>0</v>
      </c>
      <c r="BJ139" s="79">
        <f t="shared" si="29"/>
        <v>0</v>
      </c>
      <c r="BK139" s="56"/>
      <c r="BL139" s="56"/>
    </row>
    <row r="140" spans="1:64" x14ac:dyDescent="0.3">
      <c r="A140" s="12" t="str">
        <f>IF(ISBLANK($C140),"",MAX($A$95:$A139)+0.01)</f>
        <v/>
      </c>
      <c r="B140" s="52"/>
      <c r="C140" s="48"/>
      <c r="D140" s="44"/>
      <c r="E140" s="45"/>
      <c r="F140" s="47"/>
      <c r="G140" s="45"/>
      <c r="H140" s="46" t="str">
        <f t="shared" si="34"/>
        <v/>
      </c>
      <c r="I140" s="45"/>
      <c r="J140" s="46" t="str">
        <f t="shared" si="35"/>
        <v/>
      </c>
      <c r="K140" s="45"/>
      <c r="L140" s="46" t="str">
        <f t="shared" si="36"/>
        <v/>
      </c>
      <c r="M140" s="45"/>
      <c r="N140" s="46" t="str">
        <f t="shared" si="37"/>
        <v/>
      </c>
      <c r="O140" s="44"/>
      <c r="P140" s="45"/>
      <c r="Q140" s="46" t="str">
        <f t="shared" si="38"/>
        <v/>
      </c>
      <c r="R140" s="53" t="str">
        <f t="shared" si="39"/>
        <v/>
      </c>
      <c r="S140" s="43"/>
      <c r="T140" s="43"/>
      <c r="U140" s="43"/>
      <c r="W140" s="37">
        <v>0</v>
      </c>
      <c r="X140" s="37">
        <v>0</v>
      </c>
      <c r="Y140" s="37">
        <v>0</v>
      </c>
      <c r="Z140" s="37">
        <v>0</v>
      </c>
      <c r="AA140" s="37">
        <v>0</v>
      </c>
      <c r="AB140" s="38">
        <v>0</v>
      </c>
      <c r="AC140" s="38">
        <v>0</v>
      </c>
      <c r="AD140" s="38">
        <v>0</v>
      </c>
      <c r="AE140" s="38">
        <v>0</v>
      </c>
      <c r="AF140" s="38">
        <v>0</v>
      </c>
      <c r="AG140" s="36">
        <f t="shared" si="6"/>
        <v>0</v>
      </c>
      <c r="AI140" s="56"/>
      <c r="AJ140" s="56"/>
      <c r="AK140" s="56"/>
      <c r="AL140" s="56"/>
      <c r="AM140" s="79">
        <f t="shared" si="10"/>
        <v>0</v>
      </c>
      <c r="AN140" s="79">
        <f t="shared" si="11"/>
        <v>0</v>
      </c>
      <c r="AO140" s="79">
        <f t="shared" si="12"/>
        <v>0</v>
      </c>
      <c r="AP140" s="79">
        <f t="shared" si="13"/>
        <v>0</v>
      </c>
      <c r="AQ140" s="79">
        <f t="shared" si="12"/>
        <v>0</v>
      </c>
      <c r="AR140" s="79">
        <f t="shared" si="13"/>
        <v>0</v>
      </c>
      <c r="AS140" s="79">
        <f t="shared" si="14"/>
        <v>0</v>
      </c>
      <c r="AT140" s="79">
        <f t="shared" si="15"/>
        <v>0</v>
      </c>
      <c r="AU140" s="79">
        <f t="shared" si="16"/>
        <v>0</v>
      </c>
      <c r="AV140" s="79">
        <f t="shared" si="17"/>
        <v>0</v>
      </c>
      <c r="AW140" s="79">
        <f t="shared" si="18"/>
        <v>0</v>
      </c>
      <c r="AX140" s="79">
        <f t="shared" si="19"/>
        <v>0</v>
      </c>
      <c r="AY140" s="79">
        <f t="shared" si="20"/>
        <v>0</v>
      </c>
      <c r="AZ140" s="79">
        <f t="shared" si="21"/>
        <v>0</v>
      </c>
      <c r="BA140" s="79">
        <f t="shared" si="22"/>
        <v>0</v>
      </c>
      <c r="BB140" s="79">
        <f t="shared" si="23"/>
        <v>0</v>
      </c>
      <c r="BC140" s="79">
        <f t="shared" si="22"/>
        <v>0</v>
      </c>
      <c r="BD140" s="79">
        <f t="shared" si="23"/>
        <v>0</v>
      </c>
      <c r="BE140" s="79">
        <f t="shared" si="24"/>
        <v>0</v>
      </c>
      <c r="BF140" s="79">
        <f t="shared" si="25"/>
        <v>0</v>
      </c>
      <c r="BG140" s="79">
        <f t="shared" si="26"/>
        <v>0</v>
      </c>
      <c r="BH140" s="79">
        <f t="shared" si="27"/>
        <v>0</v>
      </c>
      <c r="BI140" s="79">
        <f t="shared" si="28"/>
        <v>0</v>
      </c>
      <c r="BJ140" s="79">
        <f t="shared" si="29"/>
        <v>0</v>
      </c>
      <c r="BK140" s="56"/>
      <c r="BL140" s="56"/>
    </row>
    <row r="141" spans="1:64" x14ac:dyDescent="0.3">
      <c r="A141" s="12" t="str">
        <f>IF(ISBLANK($C141),"",MAX($A$95:$A140)+0.01)</f>
        <v/>
      </c>
      <c r="B141" s="52"/>
      <c r="C141" s="48"/>
      <c r="D141" s="44"/>
      <c r="E141" s="45"/>
      <c r="F141" s="47"/>
      <c r="G141" s="45"/>
      <c r="H141" s="46" t="str">
        <f t="shared" si="34"/>
        <v/>
      </c>
      <c r="I141" s="45"/>
      <c r="J141" s="46" t="str">
        <f t="shared" si="35"/>
        <v/>
      </c>
      <c r="K141" s="45"/>
      <c r="L141" s="46" t="str">
        <f t="shared" si="36"/>
        <v/>
      </c>
      <c r="M141" s="45"/>
      <c r="N141" s="46" t="str">
        <f t="shared" si="37"/>
        <v/>
      </c>
      <c r="O141" s="44"/>
      <c r="P141" s="45"/>
      <c r="Q141" s="46" t="str">
        <f t="shared" si="38"/>
        <v/>
      </c>
      <c r="R141" s="53" t="str">
        <f t="shared" si="39"/>
        <v/>
      </c>
      <c r="S141" s="43"/>
      <c r="T141" s="43"/>
      <c r="U141" s="43"/>
      <c r="W141" s="37">
        <v>0</v>
      </c>
      <c r="X141" s="37">
        <v>0</v>
      </c>
      <c r="Y141" s="37">
        <v>0</v>
      </c>
      <c r="Z141" s="37">
        <v>0</v>
      </c>
      <c r="AA141" s="37">
        <v>0</v>
      </c>
      <c r="AB141" s="38">
        <v>0</v>
      </c>
      <c r="AC141" s="38">
        <v>0</v>
      </c>
      <c r="AD141" s="38">
        <v>0</v>
      </c>
      <c r="AE141" s="38">
        <v>0</v>
      </c>
      <c r="AF141" s="38">
        <v>0</v>
      </c>
      <c r="AG141" s="36">
        <f t="shared" si="6"/>
        <v>0</v>
      </c>
      <c r="AI141" s="56"/>
      <c r="AJ141" s="56"/>
      <c r="AK141" s="56"/>
      <c r="AL141" s="56"/>
      <c r="AM141" s="79">
        <f t="shared" si="10"/>
        <v>0</v>
      </c>
      <c r="AN141" s="79">
        <f t="shared" si="11"/>
        <v>0</v>
      </c>
      <c r="AO141" s="79">
        <f t="shared" si="12"/>
        <v>0</v>
      </c>
      <c r="AP141" s="79">
        <f t="shared" si="13"/>
        <v>0</v>
      </c>
      <c r="AQ141" s="79">
        <f t="shared" si="12"/>
        <v>0</v>
      </c>
      <c r="AR141" s="79">
        <f t="shared" si="13"/>
        <v>0</v>
      </c>
      <c r="AS141" s="79">
        <f t="shared" si="14"/>
        <v>0</v>
      </c>
      <c r="AT141" s="79">
        <f t="shared" si="15"/>
        <v>0</v>
      </c>
      <c r="AU141" s="79">
        <f t="shared" si="16"/>
        <v>0</v>
      </c>
      <c r="AV141" s="79">
        <f t="shared" si="17"/>
        <v>0</v>
      </c>
      <c r="AW141" s="79">
        <f t="shared" si="18"/>
        <v>0</v>
      </c>
      <c r="AX141" s="79">
        <f t="shared" si="19"/>
        <v>0</v>
      </c>
      <c r="AY141" s="79">
        <f t="shared" si="20"/>
        <v>0</v>
      </c>
      <c r="AZ141" s="79">
        <f t="shared" si="21"/>
        <v>0</v>
      </c>
      <c r="BA141" s="79">
        <f t="shared" si="22"/>
        <v>0</v>
      </c>
      <c r="BB141" s="79">
        <f t="shared" si="23"/>
        <v>0</v>
      </c>
      <c r="BC141" s="79">
        <f t="shared" si="22"/>
        <v>0</v>
      </c>
      <c r="BD141" s="79">
        <f t="shared" si="23"/>
        <v>0</v>
      </c>
      <c r="BE141" s="79">
        <f t="shared" si="24"/>
        <v>0</v>
      </c>
      <c r="BF141" s="79">
        <f t="shared" si="25"/>
        <v>0</v>
      </c>
      <c r="BG141" s="79">
        <f t="shared" si="26"/>
        <v>0</v>
      </c>
      <c r="BH141" s="79">
        <f t="shared" si="27"/>
        <v>0</v>
      </c>
      <c r="BI141" s="79">
        <f t="shared" si="28"/>
        <v>0</v>
      </c>
      <c r="BJ141" s="79">
        <f t="shared" si="29"/>
        <v>0</v>
      </c>
      <c r="BK141" s="56"/>
      <c r="BL141" s="56"/>
    </row>
    <row r="142" spans="1:64" ht="24" customHeight="1" x14ac:dyDescent="0.3">
      <c r="A142" s="20"/>
      <c r="B142" s="234" t="s">
        <v>1501</v>
      </c>
      <c r="C142" s="234"/>
      <c r="D142" s="234"/>
      <c r="E142" s="234"/>
      <c r="F142" s="234"/>
      <c r="G142" s="234"/>
      <c r="H142" s="234"/>
      <c r="I142" s="234"/>
      <c r="J142" s="234"/>
      <c r="K142" s="234"/>
      <c r="L142" s="234"/>
      <c r="M142" s="234"/>
      <c r="N142" s="234"/>
      <c r="O142" s="234"/>
      <c r="P142" s="234"/>
      <c r="Q142" s="234"/>
      <c r="R142" s="234"/>
      <c r="S142" s="234"/>
      <c r="T142" s="234"/>
      <c r="U142" s="234"/>
      <c r="AI142" s="56"/>
      <c r="AJ142" s="56"/>
      <c r="AK142" s="56"/>
      <c r="AL142" s="56"/>
      <c r="AM142" s="79">
        <f t="shared" si="10"/>
        <v>0</v>
      </c>
      <c r="AN142" s="79">
        <f t="shared" si="11"/>
        <v>0</v>
      </c>
      <c r="AO142" s="79">
        <f t="shared" si="12"/>
        <v>0</v>
      </c>
      <c r="AP142" s="79">
        <f t="shared" si="13"/>
        <v>0</v>
      </c>
      <c r="AQ142" s="79">
        <f t="shared" si="12"/>
        <v>0</v>
      </c>
      <c r="AR142" s="79">
        <f t="shared" si="13"/>
        <v>0</v>
      </c>
      <c r="AS142" s="79">
        <f t="shared" si="14"/>
        <v>0</v>
      </c>
      <c r="AT142" s="79">
        <f t="shared" si="15"/>
        <v>0</v>
      </c>
      <c r="AU142" s="79">
        <f t="shared" si="16"/>
        <v>0</v>
      </c>
      <c r="AV142" s="79">
        <f t="shared" si="17"/>
        <v>0</v>
      </c>
      <c r="AW142" s="79">
        <f t="shared" si="18"/>
        <v>0</v>
      </c>
      <c r="AX142" s="79">
        <f t="shared" si="19"/>
        <v>0</v>
      </c>
      <c r="AY142" s="79">
        <f t="shared" si="20"/>
        <v>0</v>
      </c>
      <c r="AZ142" s="79">
        <f t="shared" si="21"/>
        <v>0</v>
      </c>
      <c r="BA142" s="79">
        <f t="shared" si="22"/>
        <v>0</v>
      </c>
      <c r="BB142" s="79">
        <f t="shared" si="23"/>
        <v>0</v>
      </c>
      <c r="BC142" s="79">
        <f t="shared" si="22"/>
        <v>0</v>
      </c>
      <c r="BD142" s="79">
        <f t="shared" si="23"/>
        <v>0</v>
      </c>
      <c r="BE142" s="79">
        <f t="shared" si="24"/>
        <v>0</v>
      </c>
      <c r="BF142" s="79">
        <f t="shared" si="25"/>
        <v>0</v>
      </c>
      <c r="BG142" s="79">
        <f t="shared" si="26"/>
        <v>0</v>
      </c>
      <c r="BH142" s="79">
        <f t="shared" si="27"/>
        <v>0</v>
      </c>
      <c r="BI142" s="79">
        <f t="shared" si="28"/>
        <v>0</v>
      </c>
      <c r="BJ142" s="79">
        <f t="shared" si="29"/>
        <v>0</v>
      </c>
      <c r="BK142" s="56"/>
      <c r="BL142" s="56"/>
    </row>
    <row r="143" spans="1:64" ht="27.6" x14ac:dyDescent="0.3">
      <c r="A143" s="12">
        <f>IF(ISBLANK($C143),"",MAX($A$95:$A142)+0.01)</f>
        <v>4.2899999999999938</v>
      </c>
      <c r="B143" s="65" t="s">
        <v>13</v>
      </c>
      <c r="C143" s="66" t="s">
        <v>1495</v>
      </c>
      <c r="D143" s="44"/>
      <c r="E143" s="45" t="s">
        <v>91</v>
      </c>
      <c r="F143" s="44"/>
      <c r="G143" s="45"/>
      <c r="H143" s="46" t="str">
        <f t="shared" ref="H143:H153" si="45">IFERROR(VLOOKUP($E143,$D$199:$E$203,2,FALSE)*VLOOKUP($G143,$D$206:$E$210,2,FALSE),"")</f>
        <v/>
      </c>
      <c r="I143" s="45"/>
      <c r="J143" s="46" t="str">
        <f t="shared" ref="J143:J153" si="46">IFERROR(VLOOKUP($E143,$D$199:$E$203,2,FALSE)*VLOOKUP($I143,$D$213:$E$217,2,FALSE),"")</f>
        <v/>
      </c>
      <c r="K143" s="45"/>
      <c r="L143" s="46" t="str">
        <f t="shared" ref="L143:L153" si="47">IFERROR(VLOOKUP($E143,$D$199:$E$203,2,FALSE)*VLOOKUP($K143,$D$220:$E$224,2,FALSE),"")</f>
        <v/>
      </c>
      <c r="M143" s="45"/>
      <c r="N143" s="46" t="str">
        <f t="shared" ref="N143:N153" si="48">IFERROR(VLOOKUP($E143,$D$199:$E$203,2,FALSE)*VLOOKUP($M143,$D$227:$E$231,2,FALSE),"")</f>
        <v/>
      </c>
      <c r="O143" s="44"/>
      <c r="P143" s="45"/>
      <c r="Q143" s="50" t="str">
        <f t="shared" ref="Q143:Q153" si="49">IFERROR(VLOOKUP($E143,$D$199:$E$203,2,FALSE)*VLOOKUP($P143,$D$234:$E$238,2,FALSE),"")</f>
        <v/>
      </c>
      <c r="R143" s="53" t="str">
        <f t="shared" ref="R143:R153" si="50">IF(LEFT($D$16,2)="Ja",IF(IFERROR(FIND("DS",$B143),0)&gt;0,IF(_xlfn.NUMBERVALUE($Q143)&gt;=$N$235,"Hoch",IF(_xlfn.NUMBERVALUE($Q143)&gt;=$N$234,"Mittel",IF(_xlfn.NUMBERVALUE($Q143)&gt;0,"Tief",IF($P143="N/A","","Wahl treffen")))),""),"")</f>
        <v/>
      </c>
      <c r="S143" s="43"/>
      <c r="T143" s="43"/>
      <c r="U143" s="43"/>
      <c r="W143" s="37">
        <v>0</v>
      </c>
      <c r="X143" s="37">
        <v>0</v>
      </c>
      <c r="Y143" s="37">
        <v>0</v>
      </c>
      <c r="Z143" s="37">
        <v>0</v>
      </c>
      <c r="AA143" s="37">
        <v>0</v>
      </c>
      <c r="AB143" s="38">
        <v>0</v>
      </c>
      <c r="AC143" s="38">
        <v>0</v>
      </c>
      <c r="AD143" s="38">
        <v>0</v>
      </c>
      <c r="AE143" s="38">
        <v>0</v>
      </c>
      <c r="AF143" s="38">
        <v>0</v>
      </c>
      <c r="AG143" s="36">
        <f>IF($AG$100=5,SUM(AB143:AF143),IF($AG$100=4,SUM(AB143:AE143),IF($AG$100=3,SUM(AB143:AD143),IF($AG$100=2,SUM(AB143:AC143),AB143))))/$AG$100</f>
        <v>0</v>
      </c>
      <c r="AI143" s="56"/>
      <c r="AJ143" s="56"/>
      <c r="AK143" s="56"/>
      <c r="AL143" s="56"/>
      <c r="AM143" s="79">
        <f t="shared" si="10"/>
        <v>0</v>
      </c>
      <c r="AN143" s="79">
        <f t="shared" si="11"/>
        <v>0</v>
      </c>
      <c r="AO143" s="79">
        <f t="shared" si="12"/>
        <v>0</v>
      </c>
      <c r="AP143" s="79">
        <f t="shared" si="13"/>
        <v>0</v>
      </c>
      <c r="AQ143" s="79">
        <f t="shared" si="12"/>
        <v>0</v>
      </c>
      <c r="AR143" s="79">
        <f t="shared" si="13"/>
        <v>0</v>
      </c>
      <c r="AS143" s="79">
        <f t="shared" si="14"/>
        <v>0</v>
      </c>
      <c r="AT143" s="79">
        <f t="shared" si="15"/>
        <v>0</v>
      </c>
      <c r="AU143" s="79">
        <f t="shared" si="16"/>
        <v>0</v>
      </c>
      <c r="AV143" s="79">
        <f t="shared" si="17"/>
        <v>0</v>
      </c>
      <c r="AW143" s="79">
        <f t="shared" si="18"/>
        <v>0</v>
      </c>
      <c r="AX143" s="79">
        <f t="shared" si="19"/>
        <v>0</v>
      </c>
      <c r="AY143" s="79">
        <f t="shared" si="20"/>
        <v>0</v>
      </c>
      <c r="AZ143" s="79">
        <f t="shared" si="21"/>
        <v>0</v>
      </c>
      <c r="BA143" s="79">
        <f t="shared" si="22"/>
        <v>0</v>
      </c>
      <c r="BB143" s="79">
        <f t="shared" si="23"/>
        <v>0</v>
      </c>
      <c r="BC143" s="79">
        <f t="shared" si="22"/>
        <v>0</v>
      </c>
      <c r="BD143" s="79">
        <f t="shared" si="23"/>
        <v>0</v>
      </c>
      <c r="BE143" s="79">
        <f t="shared" si="24"/>
        <v>0</v>
      </c>
      <c r="BF143" s="79">
        <f t="shared" si="25"/>
        <v>0</v>
      </c>
      <c r="BG143" s="79">
        <f t="shared" si="26"/>
        <v>0</v>
      </c>
      <c r="BH143" s="79">
        <f t="shared" si="27"/>
        <v>0</v>
      </c>
      <c r="BI143" s="79">
        <f t="shared" si="28"/>
        <v>0</v>
      </c>
      <c r="BJ143" s="79">
        <f t="shared" si="29"/>
        <v>0</v>
      </c>
      <c r="BK143" s="56"/>
      <c r="BL143" s="56"/>
    </row>
    <row r="144" spans="1:64" ht="96.6" x14ac:dyDescent="0.3">
      <c r="A144" s="12">
        <f>IF(ISBLANK($C144),"",MAX($A$95:$A143)+0.01)</f>
        <v>4.2999999999999936</v>
      </c>
      <c r="B144" s="65" t="s">
        <v>1473</v>
      </c>
      <c r="C144" s="70" t="s">
        <v>1496</v>
      </c>
      <c r="D144" s="44"/>
      <c r="E144" s="45" t="s">
        <v>91</v>
      </c>
      <c r="F144" s="44"/>
      <c r="G144" s="45"/>
      <c r="H144" s="46" t="str">
        <f t="shared" si="45"/>
        <v/>
      </c>
      <c r="I144" s="45"/>
      <c r="J144" s="46" t="str">
        <f t="shared" si="46"/>
        <v/>
      </c>
      <c r="K144" s="45"/>
      <c r="L144" s="46" t="str">
        <f t="shared" si="47"/>
        <v/>
      </c>
      <c r="M144" s="45"/>
      <c r="N144" s="46" t="str">
        <f t="shared" si="48"/>
        <v/>
      </c>
      <c r="O144" s="44"/>
      <c r="P144" s="45"/>
      <c r="Q144" s="50" t="str">
        <f t="shared" si="49"/>
        <v/>
      </c>
      <c r="R144" s="53" t="str">
        <f t="shared" si="50"/>
        <v>Wahl treffen</v>
      </c>
      <c r="S144" s="43"/>
      <c r="T144" s="43"/>
      <c r="U144" s="43"/>
      <c r="V144" s="54"/>
      <c r="W144" s="37">
        <v>0</v>
      </c>
      <c r="X144" s="37">
        <v>0</v>
      </c>
      <c r="Y144" s="37">
        <v>0</v>
      </c>
      <c r="Z144" s="37">
        <v>0</v>
      </c>
      <c r="AA144" s="37">
        <v>0</v>
      </c>
      <c r="AB144" s="38">
        <v>0</v>
      </c>
      <c r="AC144" s="38">
        <v>0</v>
      </c>
      <c r="AD144" s="38">
        <v>0</v>
      </c>
      <c r="AE144" s="38">
        <v>0</v>
      </c>
      <c r="AF144" s="38">
        <v>0</v>
      </c>
      <c r="AG144" s="36">
        <f>IF($AG$100=5,SUM(AB144:AF144),IF($AG$100=4,SUM(AB144:AE144),IF($AG$100=3,SUM(AB144:AD144),IF($AG$100=2,SUM(AB144:AC144),AB144))))/$AG$100</f>
        <v>0</v>
      </c>
      <c r="AI144" s="56"/>
      <c r="AJ144" s="56"/>
      <c r="AK144" s="56"/>
      <c r="AL144" s="56"/>
      <c r="AM144" s="79">
        <f t="shared" si="10"/>
        <v>0</v>
      </c>
      <c r="AN144" s="79">
        <f t="shared" si="11"/>
        <v>0</v>
      </c>
      <c r="AO144" s="79">
        <f t="shared" si="12"/>
        <v>0</v>
      </c>
      <c r="AP144" s="79">
        <f t="shared" si="13"/>
        <v>0</v>
      </c>
      <c r="AQ144" s="79">
        <f t="shared" si="12"/>
        <v>0</v>
      </c>
      <c r="AR144" s="79">
        <f t="shared" si="13"/>
        <v>0</v>
      </c>
      <c r="AS144" s="79">
        <f t="shared" si="14"/>
        <v>0</v>
      </c>
      <c r="AT144" s="79">
        <f t="shared" si="15"/>
        <v>0</v>
      </c>
      <c r="AU144" s="79">
        <f t="shared" si="16"/>
        <v>0</v>
      </c>
      <c r="AV144" s="79">
        <f t="shared" si="17"/>
        <v>0</v>
      </c>
      <c r="AW144" s="79">
        <f t="shared" si="18"/>
        <v>0</v>
      </c>
      <c r="AX144" s="79">
        <f t="shared" si="19"/>
        <v>0</v>
      </c>
      <c r="AY144" s="79">
        <f t="shared" si="20"/>
        <v>0</v>
      </c>
      <c r="AZ144" s="79">
        <f t="shared" si="21"/>
        <v>0</v>
      </c>
      <c r="BA144" s="79">
        <f t="shared" si="22"/>
        <v>0</v>
      </c>
      <c r="BB144" s="79">
        <f t="shared" si="23"/>
        <v>0</v>
      </c>
      <c r="BC144" s="79">
        <f t="shared" si="22"/>
        <v>0</v>
      </c>
      <c r="BD144" s="79">
        <f t="shared" si="23"/>
        <v>0</v>
      </c>
      <c r="BE144" s="79">
        <f t="shared" si="24"/>
        <v>0</v>
      </c>
      <c r="BF144" s="79">
        <f t="shared" si="25"/>
        <v>0</v>
      </c>
      <c r="BG144" s="79">
        <f t="shared" si="26"/>
        <v>0</v>
      </c>
      <c r="BH144" s="79">
        <f t="shared" si="27"/>
        <v>0</v>
      </c>
      <c r="BI144" s="79">
        <f t="shared" si="28"/>
        <v>0</v>
      </c>
      <c r="BJ144" s="79">
        <f t="shared" si="29"/>
        <v>0</v>
      </c>
      <c r="BK144" s="56"/>
      <c r="BL144" s="56"/>
    </row>
    <row r="145" spans="1:64" ht="69" x14ac:dyDescent="0.3">
      <c r="A145" s="12">
        <f>IF(ISBLANK($C145),"",MAX($A$95:$A144)+0.01)</f>
        <v>4.3099999999999934</v>
      </c>
      <c r="B145" s="65" t="s">
        <v>1473</v>
      </c>
      <c r="C145" s="70" t="s">
        <v>1497</v>
      </c>
      <c r="D145" s="44"/>
      <c r="E145" s="45" t="s">
        <v>91</v>
      </c>
      <c r="F145" s="44"/>
      <c r="G145" s="45"/>
      <c r="H145" s="46" t="str">
        <f t="shared" si="45"/>
        <v/>
      </c>
      <c r="I145" s="45"/>
      <c r="J145" s="46" t="str">
        <f t="shared" si="46"/>
        <v/>
      </c>
      <c r="K145" s="45"/>
      <c r="L145" s="46" t="str">
        <f t="shared" si="47"/>
        <v/>
      </c>
      <c r="M145" s="45"/>
      <c r="N145" s="46" t="str">
        <f t="shared" si="48"/>
        <v/>
      </c>
      <c r="O145" s="44"/>
      <c r="P145" s="45"/>
      <c r="Q145" s="50" t="str">
        <f t="shared" si="49"/>
        <v/>
      </c>
      <c r="R145" s="53" t="str">
        <f t="shared" si="50"/>
        <v>Wahl treffen</v>
      </c>
      <c r="S145" s="43"/>
      <c r="T145" s="43"/>
      <c r="U145" s="43"/>
      <c r="V145" s="54"/>
      <c r="W145" s="37">
        <v>0</v>
      </c>
      <c r="X145" s="37">
        <v>0</v>
      </c>
      <c r="Y145" s="37">
        <v>0</v>
      </c>
      <c r="Z145" s="37">
        <v>0</v>
      </c>
      <c r="AA145" s="37">
        <v>0</v>
      </c>
      <c r="AB145" s="38">
        <v>0</v>
      </c>
      <c r="AC145" s="38">
        <v>0</v>
      </c>
      <c r="AD145" s="38">
        <v>0</v>
      </c>
      <c r="AE145" s="38">
        <v>0</v>
      </c>
      <c r="AF145" s="38">
        <v>0</v>
      </c>
      <c r="AG145" s="36">
        <f t="shared" ref="AG145:AG153" si="51">IF($AG$100=5,SUM(AB145:AF145),IF($AG$100=4,SUM(AB145:AE145),IF($AG$100=3,SUM(AB145:AD145),IF($AG$100=2,SUM(AB145:AC145),AB145))))/$AG$100</f>
        <v>0</v>
      </c>
      <c r="AI145" s="56"/>
      <c r="AJ145" s="56"/>
      <c r="AK145" s="56"/>
      <c r="AL145" s="56"/>
      <c r="AM145" s="79">
        <f t="shared" si="10"/>
        <v>0</v>
      </c>
      <c r="AN145" s="79">
        <f t="shared" si="11"/>
        <v>0</v>
      </c>
      <c r="AO145" s="79">
        <f t="shared" si="12"/>
        <v>0</v>
      </c>
      <c r="AP145" s="79">
        <f t="shared" si="13"/>
        <v>0</v>
      </c>
      <c r="AQ145" s="79">
        <f t="shared" si="12"/>
        <v>0</v>
      </c>
      <c r="AR145" s="79">
        <f t="shared" si="13"/>
        <v>0</v>
      </c>
      <c r="AS145" s="79">
        <f t="shared" si="14"/>
        <v>0</v>
      </c>
      <c r="AT145" s="79">
        <f t="shared" si="15"/>
        <v>0</v>
      </c>
      <c r="AU145" s="79">
        <f t="shared" si="16"/>
        <v>0</v>
      </c>
      <c r="AV145" s="79">
        <f t="shared" si="17"/>
        <v>0</v>
      </c>
      <c r="AW145" s="79">
        <f t="shared" si="18"/>
        <v>0</v>
      </c>
      <c r="AX145" s="79">
        <f t="shared" si="19"/>
        <v>0</v>
      </c>
      <c r="AY145" s="79">
        <f t="shared" si="20"/>
        <v>0</v>
      </c>
      <c r="AZ145" s="79">
        <f t="shared" si="21"/>
        <v>0</v>
      </c>
      <c r="BA145" s="79">
        <f t="shared" si="22"/>
        <v>0</v>
      </c>
      <c r="BB145" s="79">
        <f t="shared" si="23"/>
        <v>0</v>
      </c>
      <c r="BC145" s="79">
        <f t="shared" si="22"/>
        <v>0</v>
      </c>
      <c r="BD145" s="79">
        <f t="shared" si="23"/>
        <v>0</v>
      </c>
      <c r="BE145" s="79">
        <f t="shared" si="24"/>
        <v>0</v>
      </c>
      <c r="BF145" s="79">
        <f t="shared" si="25"/>
        <v>0</v>
      </c>
      <c r="BG145" s="79">
        <f t="shared" si="26"/>
        <v>0</v>
      </c>
      <c r="BH145" s="79">
        <f t="shared" si="27"/>
        <v>0</v>
      </c>
      <c r="BI145" s="79">
        <f t="shared" si="28"/>
        <v>0</v>
      </c>
      <c r="BJ145" s="79">
        <f t="shared" si="29"/>
        <v>0</v>
      </c>
      <c r="BK145" s="56"/>
      <c r="BL145" s="56"/>
    </row>
    <row r="146" spans="1:64" ht="27.6" x14ac:dyDescent="0.3">
      <c r="A146" s="12">
        <f>IF(ISBLANK($C146),"",MAX($A$95:$A145)+0.01)</f>
        <v>4.3199999999999932</v>
      </c>
      <c r="B146" s="69" t="s">
        <v>1472</v>
      </c>
      <c r="C146" s="70" t="s">
        <v>1498</v>
      </c>
      <c r="D146" s="44"/>
      <c r="E146" s="45" t="s">
        <v>91</v>
      </c>
      <c r="F146" s="44"/>
      <c r="G146" s="45"/>
      <c r="H146" s="46" t="str">
        <f t="shared" si="45"/>
        <v/>
      </c>
      <c r="I146" s="45"/>
      <c r="J146" s="46" t="str">
        <f t="shared" si="46"/>
        <v/>
      </c>
      <c r="K146" s="45"/>
      <c r="L146" s="46" t="str">
        <f t="shared" si="47"/>
        <v/>
      </c>
      <c r="M146" s="45"/>
      <c r="N146" s="46" t="str">
        <f t="shared" si="48"/>
        <v/>
      </c>
      <c r="O146" s="44"/>
      <c r="P146" s="45"/>
      <c r="Q146" s="46" t="str">
        <f t="shared" si="49"/>
        <v/>
      </c>
      <c r="R146" s="53" t="str">
        <f t="shared" si="50"/>
        <v/>
      </c>
      <c r="S146" s="43"/>
      <c r="T146" s="43"/>
      <c r="U146" s="43"/>
      <c r="W146" s="37">
        <v>0</v>
      </c>
      <c r="X146" s="37">
        <v>0</v>
      </c>
      <c r="Y146" s="37">
        <v>0</v>
      </c>
      <c r="Z146" s="37">
        <v>0</v>
      </c>
      <c r="AA146" s="37">
        <v>0</v>
      </c>
      <c r="AB146" s="38">
        <v>0</v>
      </c>
      <c r="AC146" s="38">
        <v>0</v>
      </c>
      <c r="AD146" s="38">
        <v>0</v>
      </c>
      <c r="AE146" s="38">
        <v>0</v>
      </c>
      <c r="AF146" s="38">
        <v>0</v>
      </c>
      <c r="AG146" s="36">
        <f t="shared" si="51"/>
        <v>0</v>
      </c>
      <c r="AI146" s="56"/>
      <c r="AJ146" s="56"/>
      <c r="AK146" s="56"/>
      <c r="AL146" s="56"/>
      <c r="AM146" s="79">
        <f t="shared" si="10"/>
        <v>0</v>
      </c>
      <c r="AN146" s="79">
        <f t="shared" si="11"/>
        <v>0</v>
      </c>
      <c r="AO146" s="79">
        <f t="shared" si="12"/>
        <v>0</v>
      </c>
      <c r="AP146" s="79">
        <f t="shared" si="13"/>
        <v>0</v>
      </c>
      <c r="AQ146" s="79">
        <f t="shared" si="12"/>
        <v>0</v>
      </c>
      <c r="AR146" s="79">
        <f t="shared" si="13"/>
        <v>0</v>
      </c>
      <c r="AS146" s="79">
        <f t="shared" si="14"/>
        <v>0</v>
      </c>
      <c r="AT146" s="79">
        <f t="shared" si="15"/>
        <v>0</v>
      </c>
      <c r="AU146" s="79">
        <f t="shared" si="16"/>
        <v>0</v>
      </c>
      <c r="AV146" s="79">
        <f t="shared" si="17"/>
        <v>0</v>
      </c>
      <c r="AW146" s="79">
        <f t="shared" si="18"/>
        <v>0</v>
      </c>
      <c r="AX146" s="79">
        <f t="shared" si="19"/>
        <v>0</v>
      </c>
      <c r="AY146" s="79">
        <f t="shared" si="20"/>
        <v>0</v>
      </c>
      <c r="AZ146" s="79">
        <f t="shared" si="21"/>
        <v>0</v>
      </c>
      <c r="BA146" s="79">
        <f t="shared" si="22"/>
        <v>0</v>
      </c>
      <c r="BB146" s="79">
        <f t="shared" si="23"/>
        <v>0</v>
      </c>
      <c r="BC146" s="79">
        <f t="shared" si="22"/>
        <v>0</v>
      </c>
      <c r="BD146" s="79">
        <f t="shared" si="23"/>
        <v>0</v>
      </c>
      <c r="BE146" s="79">
        <f t="shared" si="24"/>
        <v>0</v>
      </c>
      <c r="BF146" s="79">
        <f t="shared" si="25"/>
        <v>0</v>
      </c>
      <c r="BG146" s="79">
        <f t="shared" si="26"/>
        <v>0</v>
      </c>
      <c r="BH146" s="79">
        <f t="shared" si="27"/>
        <v>0</v>
      </c>
      <c r="BI146" s="79">
        <f t="shared" si="28"/>
        <v>0</v>
      </c>
      <c r="BJ146" s="79">
        <f t="shared" si="29"/>
        <v>0</v>
      </c>
      <c r="BK146" s="56"/>
      <c r="BL146" s="56"/>
    </row>
    <row r="147" spans="1:64" ht="41.4" x14ac:dyDescent="0.3">
      <c r="A147" s="12">
        <f>IF(ISBLANK($C147),"",MAX($A$95:$A146)+0.01)</f>
        <v>4.329999999999993</v>
      </c>
      <c r="B147" s="69" t="s">
        <v>1472</v>
      </c>
      <c r="C147" s="70" t="s">
        <v>1494</v>
      </c>
      <c r="D147" s="44"/>
      <c r="E147" s="45" t="s">
        <v>91</v>
      </c>
      <c r="F147" s="44"/>
      <c r="G147" s="45"/>
      <c r="H147" s="46" t="str">
        <f t="shared" si="45"/>
        <v/>
      </c>
      <c r="I147" s="45"/>
      <c r="J147" s="46" t="str">
        <f t="shared" si="46"/>
        <v/>
      </c>
      <c r="K147" s="45"/>
      <c r="L147" s="46" t="str">
        <f t="shared" si="47"/>
        <v/>
      </c>
      <c r="M147" s="45"/>
      <c r="N147" s="46" t="str">
        <f t="shared" si="48"/>
        <v/>
      </c>
      <c r="O147" s="44"/>
      <c r="P147" s="45"/>
      <c r="Q147" s="46" t="str">
        <f t="shared" si="49"/>
        <v/>
      </c>
      <c r="R147" s="53" t="str">
        <f t="shared" si="50"/>
        <v/>
      </c>
      <c r="S147" s="43"/>
      <c r="T147" s="43"/>
      <c r="U147" s="43"/>
      <c r="W147" s="37">
        <v>0</v>
      </c>
      <c r="X147" s="37">
        <v>0</v>
      </c>
      <c r="Y147" s="37">
        <v>0</v>
      </c>
      <c r="Z147" s="37">
        <v>0</v>
      </c>
      <c r="AA147" s="37">
        <v>0</v>
      </c>
      <c r="AB147" s="38">
        <v>0</v>
      </c>
      <c r="AC147" s="38">
        <v>0</v>
      </c>
      <c r="AD147" s="38">
        <v>0</v>
      </c>
      <c r="AE147" s="38">
        <v>0</v>
      </c>
      <c r="AF147" s="38">
        <v>0</v>
      </c>
      <c r="AG147" s="36">
        <f t="shared" si="51"/>
        <v>0</v>
      </c>
      <c r="AI147" s="56"/>
      <c r="AJ147" s="56"/>
      <c r="AK147" s="56"/>
      <c r="AL147" s="56"/>
      <c r="AM147" s="79">
        <f t="shared" si="10"/>
        <v>0</v>
      </c>
      <c r="AN147" s="79">
        <f t="shared" si="11"/>
        <v>0</v>
      </c>
      <c r="AO147" s="79">
        <f t="shared" si="12"/>
        <v>0</v>
      </c>
      <c r="AP147" s="79">
        <f t="shared" si="13"/>
        <v>0</v>
      </c>
      <c r="AQ147" s="79">
        <f t="shared" si="12"/>
        <v>0</v>
      </c>
      <c r="AR147" s="79">
        <f t="shared" si="13"/>
        <v>0</v>
      </c>
      <c r="AS147" s="79">
        <f t="shared" si="14"/>
        <v>0</v>
      </c>
      <c r="AT147" s="79">
        <f t="shared" si="15"/>
        <v>0</v>
      </c>
      <c r="AU147" s="79">
        <f t="shared" si="16"/>
        <v>0</v>
      </c>
      <c r="AV147" s="79">
        <f t="shared" si="17"/>
        <v>0</v>
      </c>
      <c r="AW147" s="79">
        <f t="shared" si="18"/>
        <v>0</v>
      </c>
      <c r="AX147" s="79">
        <f t="shared" si="19"/>
        <v>0</v>
      </c>
      <c r="AY147" s="79">
        <f t="shared" si="20"/>
        <v>0</v>
      </c>
      <c r="AZ147" s="79">
        <f t="shared" si="21"/>
        <v>0</v>
      </c>
      <c r="BA147" s="79">
        <f t="shared" si="22"/>
        <v>0</v>
      </c>
      <c r="BB147" s="79">
        <f t="shared" si="23"/>
        <v>0</v>
      </c>
      <c r="BC147" s="79">
        <f t="shared" si="22"/>
        <v>0</v>
      </c>
      <c r="BD147" s="79">
        <f t="shared" si="23"/>
        <v>0</v>
      </c>
      <c r="BE147" s="79">
        <f t="shared" si="24"/>
        <v>0</v>
      </c>
      <c r="BF147" s="79">
        <f t="shared" si="25"/>
        <v>0</v>
      </c>
      <c r="BG147" s="79">
        <f t="shared" si="26"/>
        <v>0</v>
      </c>
      <c r="BH147" s="79">
        <f t="shared" si="27"/>
        <v>0</v>
      </c>
      <c r="BI147" s="79">
        <f t="shared" si="28"/>
        <v>0</v>
      </c>
      <c r="BJ147" s="79">
        <f t="shared" si="29"/>
        <v>0</v>
      </c>
      <c r="BK147" s="56"/>
      <c r="BL147" s="56"/>
    </row>
    <row r="148" spans="1:64" ht="41.4" x14ac:dyDescent="0.3">
      <c r="A148" s="12">
        <f>IF(ISBLANK($C148),"",MAX($A$95:$A147)+0.01)</f>
        <v>4.3399999999999928</v>
      </c>
      <c r="B148" s="69" t="s">
        <v>1445</v>
      </c>
      <c r="C148" s="70" t="s">
        <v>1499</v>
      </c>
      <c r="D148" s="44"/>
      <c r="E148" s="45" t="s">
        <v>91</v>
      </c>
      <c r="F148" s="44"/>
      <c r="G148" s="45"/>
      <c r="H148" s="46" t="str">
        <f t="shared" si="45"/>
        <v/>
      </c>
      <c r="I148" s="45"/>
      <c r="J148" s="46" t="str">
        <f t="shared" si="46"/>
        <v/>
      </c>
      <c r="K148" s="45"/>
      <c r="L148" s="46" t="str">
        <f t="shared" si="47"/>
        <v/>
      </c>
      <c r="M148" s="45"/>
      <c r="N148" s="46" t="str">
        <f t="shared" si="48"/>
        <v/>
      </c>
      <c r="O148" s="44"/>
      <c r="P148" s="45"/>
      <c r="Q148" s="46" t="str">
        <f t="shared" si="49"/>
        <v/>
      </c>
      <c r="R148" s="53" t="str">
        <f t="shared" si="50"/>
        <v/>
      </c>
      <c r="S148" s="43"/>
      <c r="T148" s="43"/>
      <c r="U148" s="43"/>
      <c r="W148" s="37">
        <v>0</v>
      </c>
      <c r="X148" s="37">
        <v>0</v>
      </c>
      <c r="Y148" s="37">
        <v>0</v>
      </c>
      <c r="Z148" s="37">
        <v>0</v>
      </c>
      <c r="AA148" s="37">
        <v>0</v>
      </c>
      <c r="AB148" s="38">
        <v>0</v>
      </c>
      <c r="AC148" s="38">
        <v>0</v>
      </c>
      <c r="AD148" s="38">
        <v>0</v>
      </c>
      <c r="AE148" s="38">
        <v>0</v>
      </c>
      <c r="AF148" s="38">
        <v>0</v>
      </c>
      <c r="AG148" s="36">
        <f t="shared" si="51"/>
        <v>0</v>
      </c>
      <c r="AI148" s="56"/>
      <c r="AJ148" s="56"/>
      <c r="AK148" s="56"/>
      <c r="AL148" s="56"/>
      <c r="AM148" s="79">
        <f t="shared" si="10"/>
        <v>0</v>
      </c>
      <c r="AN148" s="79">
        <f t="shared" si="11"/>
        <v>0</v>
      </c>
      <c r="AO148" s="79">
        <f t="shared" si="12"/>
        <v>0</v>
      </c>
      <c r="AP148" s="79">
        <f t="shared" si="13"/>
        <v>0</v>
      </c>
      <c r="AQ148" s="79">
        <f t="shared" si="12"/>
        <v>0</v>
      </c>
      <c r="AR148" s="79">
        <f t="shared" si="13"/>
        <v>0</v>
      </c>
      <c r="AS148" s="79">
        <f t="shared" si="14"/>
        <v>0</v>
      </c>
      <c r="AT148" s="79">
        <f t="shared" si="15"/>
        <v>0</v>
      </c>
      <c r="AU148" s="79">
        <f t="shared" si="16"/>
        <v>0</v>
      </c>
      <c r="AV148" s="79">
        <f t="shared" si="17"/>
        <v>0</v>
      </c>
      <c r="AW148" s="79">
        <f t="shared" si="18"/>
        <v>0</v>
      </c>
      <c r="AX148" s="79">
        <f t="shared" si="19"/>
        <v>0</v>
      </c>
      <c r="AY148" s="79">
        <f t="shared" si="20"/>
        <v>0</v>
      </c>
      <c r="AZ148" s="79">
        <f t="shared" si="21"/>
        <v>0</v>
      </c>
      <c r="BA148" s="79">
        <f t="shared" si="22"/>
        <v>0</v>
      </c>
      <c r="BB148" s="79">
        <f t="shared" si="23"/>
        <v>0</v>
      </c>
      <c r="BC148" s="79">
        <f t="shared" si="22"/>
        <v>0</v>
      </c>
      <c r="BD148" s="79">
        <f t="shared" si="23"/>
        <v>0</v>
      </c>
      <c r="BE148" s="79">
        <f t="shared" si="24"/>
        <v>0</v>
      </c>
      <c r="BF148" s="79">
        <f t="shared" si="25"/>
        <v>0</v>
      </c>
      <c r="BG148" s="79">
        <f t="shared" si="26"/>
        <v>0</v>
      </c>
      <c r="BH148" s="79">
        <f t="shared" si="27"/>
        <v>0</v>
      </c>
      <c r="BI148" s="79">
        <f t="shared" si="28"/>
        <v>0</v>
      </c>
      <c r="BJ148" s="79">
        <f t="shared" si="29"/>
        <v>0</v>
      </c>
      <c r="BK148" s="56"/>
      <c r="BL148" s="56"/>
    </row>
    <row r="149" spans="1:64" ht="27.6" x14ac:dyDescent="0.3">
      <c r="A149" s="12">
        <f>IF(ISBLANK($C149),"",MAX($A$95:$A148)+0.01)</f>
        <v>4.3499999999999925</v>
      </c>
      <c r="B149" s="69" t="s">
        <v>1441</v>
      </c>
      <c r="C149" s="70" t="s">
        <v>1500</v>
      </c>
      <c r="D149" s="44"/>
      <c r="E149" s="45" t="s">
        <v>91</v>
      </c>
      <c r="F149" s="44"/>
      <c r="G149" s="45"/>
      <c r="H149" s="46" t="str">
        <f t="shared" si="45"/>
        <v/>
      </c>
      <c r="I149" s="45"/>
      <c r="J149" s="46" t="str">
        <f t="shared" si="46"/>
        <v/>
      </c>
      <c r="K149" s="45"/>
      <c r="L149" s="46" t="str">
        <f t="shared" si="47"/>
        <v/>
      </c>
      <c r="M149" s="45"/>
      <c r="N149" s="46" t="str">
        <f t="shared" si="48"/>
        <v/>
      </c>
      <c r="O149" s="44"/>
      <c r="P149" s="45"/>
      <c r="Q149" s="46" t="str">
        <f t="shared" si="49"/>
        <v/>
      </c>
      <c r="R149" s="53" t="str">
        <f t="shared" si="50"/>
        <v/>
      </c>
      <c r="S149" s="43"/>
      <c r="T149" s="43"/>
      <c r="U149" s="43"/>
      <c r="W149" s="37">
        <v>0</v>
      </c>
      <c r="X149" s="37">
        <v>0</v>
      </c>
      <c r="Y149" s="37">
        <v>0</v>
      </c>
      <c r="Z149" s="37">
        <v>0</v>
      </c>
      <c r="AA149" s="37">
        <v>0</v>
      </c>
      <c r="AB149" s="38">
        <v>0</v>
      </c>
      <c r="AC149" s="38">
        <v>0</v>
      </c>
      <c r="AD149" s="38">
        <v>0</v>
      </c>
      <c r="AE149" s="38">
        <v>0</v>
      </c>
      <c r="AF149" s="38">
        <v>0</v>
      </c>
      <c r="AG149" s="36">
        <f t="shared" si="51"/>
        <v>0</v>
      </c>
      <c r="AI149" s="56"/>
      <c r="AJ149" s="56"/>
      <c r="AK149" s="56"/>
      <c r="AL149" s="56"/>
      <c r="AM149" s="79">
        <f t="shared" si="10"/>
        <v>0</v>
      </c>
      <c r="AN149" s="79">
        <f t="shared" si="11"/>
        <v>0</v>
      </c>
      <c r="AO149" s="79">
        <f t="shared" si="12"/>
        <v>0</v>
      </c>
      <c r="AP149" s="79">
        <f t="shared" si="13"/>
        <v>0</v>
      </c>
      <c r="AQ149" s="79">
        <f t="shared" si="12"/>
        <v>0</v>
      </c>
      <c r="AR149" s="79">
        <f t="shared" si="13"/>
        <v>0</v>
      </c>
      <c r="AS149" s="79">
        <f t="shared" si="14"/>
        <v>0</v>
      </c>
      <c r="AT149" s="79">
        <f t="shared" si="15"/>
        <v>0</v>
      </c>
      <c r="AU149" s="79">
        <f t="shared" si="16"/>
        <v>0</v>
      </c>
      <c r="AV149" s="79">
        <f t="shared" si="17"/>
        <v>0</v>
      </c>
      <c r="AW149" s="79">
        <f t="shared" si="18"/>
        <v>0</v>
      </c>
      <c r="AX149" s="79">
        <f t="shared" si="19"/>
        <v>0</v>
      </c>
      <c r="AY149" s="79">
        <f t="shared" si="20"/>
        <v>0</v>
      </c>
      <c r="AZ149" s="79">
        <f t="shared" si="21"/>
        <v>0</v>
      </c>
      <c r="BA149" s="79">
        <f t="shared" si="22"/>
        <v>0</v>
      </c>
      <c r="BB149" s="79">
        <f t="shared" si="23"/>
        <v>0</v>
      </c>
      <c r="BC149" s="79">
        <f t="shared" si="22"/>
        <v>0</v>
      </c>
      <c r="BD149" s="79">
        <f t="shared" si="23"/>
        <v>0</v>
      </c>
      <c r="BE149" s="79">
        <f t="shared" si="24"/>
        <v>0</v>
      </c>
      <c r="BF149" s="79">
        <f t="shared" si="25"/>
        <v>0</v>
      </c>
      <c r="BG149" s="79">
        <f t="shared" si="26"/>
        <v>0</v>
      </c>
      <c r="BH149" s="79">
        <f t="shared" si="27"/>
        <v>0</v>
      </c>
      <c r="BI149" s="79">
        <f t="shared" si="28"/>
        <v>0</v>
      </c>
      <c r="BJ149" s="79">
        <f t="shared" si="29"/>
        <v>0</v>
      </c>
      <c r="BK149" s="56"/>
      <c r="BL149" s="56"/>
    </row>
    <row r="150" spans="1:64" x14ac:dyDescent="0.3">
      <c r="A150" s="12" t="str">
        <f>IF(ISBLANK($C150),"",MAX($A$95:$A149)+0.01)</f>
        <v/>
      </c>
      <c r="B150" s="52"/>
      <c r="C150" s="48"/>
      <c r="D150" s="44"/>
      <c r="E150" s="45"/>
      <c r="F150" s="44"/>
      <c r="G150" s="45"/>
      <c r="H150" s="46" t="str">
        <f t="shared" si="45"/>
        <v/>
      </c>
      <c r="I150" s="45"/>
      <c r="J150" s="46" t="str">
        <f t="shared" si="46"/>
        <v/>
      </c>
      <c r="K150" s="45"/>
      <c r="L150" s="46" t="str">
        <f t="shared" si="47"/>
        <v/>
      </c>
      <c r="M150" s="45"/>
      <c r="N150" s="46" t="str">
        <f t="shared" si="48"/>
        <v/>
      </c>
      <c r="O150" s="44"/>
      <c r="P150" s="45"/>
      <c r="Q150" s="46" t="str">
        <f t="shared" si="49"/>
        <v/>
      </c>
      <c r="R150" s="53" t="str">
        <f t="shared" si="50"/>
        <v/>
      </c>
      <c r="S150" s="43"/>
      <c r="T150" s="43"/>
      <c r="U150" s="43"/>
      <c r="W150" s="37">
        <v>0</v>
      </c>
      <c r="X150" s="37">
        <v>0</v>
      </c>
      <c r="Y150" s="37">
        <v>0</v>
      </c>
      <c r="Z150" s="37">
        <v>0</v>
      </c>
      <c r="AA150" s="37">
        <v>0</v>
      </c>
      <c r="AB150" s="38">
        <v>0</v>
      </c>
      <c r="AC150" s="38">
        <v>0</v>
      </c>
      <c r="AD150" s="38">
        <v>0</v>
      </c>
      <c r="AE150" s="38">
        <v>0</v>
      </c>
      <c r="AF150" s="38">
        <v>0</v>
      </c>
      <c r="AG150" s="36">
        <f t="shared" si="51"/>
        <v>0</v>
      </c>
      <c r="AI150" s="56"/>
      <c r="AJ150" s="56"/>
      <c r="AK150" s="56"/>
      <c r="AL150" s="56"/>
      <c r="AM150" s="79">
        <f t="shared" si="10"/>
        <v>0</v>
      </c>
      <c r="AN150" s="79">
        <f t="shared" si="11"/>
        <v>0</v>
      </c>
      <c r="AO150" s="79">
        <f t="shared" si="12"/>
        <v>0</v>
      </c>
      <c r="AP150" s="79">
        <f t="shared" si="13"/>
        <v>0</v>
      </c>
      <c r="AQ150" s="79">
        <f t="shared" si="12"/>
        <v>0</v>
      </c>
      <c r="AR150" s="79">
        <f t="shared" si="13"/>
        <v>0</v>
      </c>
      <c r="AS150" s="79">
        <f t="shared" si="14"/>
        <v>0</v>
      </c>
      <c r="AT150" s="79">
        <f t="shared" si="15"/>
        <v>0</v>
      </c>
      <c r="AU150" s="79">
        <f t="shared" si="16"/>
        <v>0</v>
      </c>
      <c r="AV150" s="79">
        <f t="shared" si="17"/>
        <v>0</v>
      </c>
      <c r="AW150" s="79">
        <f t="shared" si="18"/>
        <v>0</v>
      </c>
      <c r="AX150" s="79">
        <f t="shared" si="19"/>
        <v>0</v>
      </c>
      <c r="AY150" s="79">
        <f t="shared" si="20"/>
        <v>0</v>
      </c>
      <c r="AZ150" s="79">
        <f t="shared" si="21"/>
        <v>0</v>
      </c>
      <c r="BA150" s="79">
        <f t="shared" si="22"/>
        <v>0</v>
      </c>
      <c r="BB150" s="79">
        <f t="shared" si="23"/>
        <v>0</v>
      </c>
      <c r="BC150" s="79">
        <f t="shared" si="22"/>
        <v>0</v>
      </c>
      <c r="BD150" s="79">
        <f t="shared" si="23"/>
        <v>0</v>
      </c>
      <c r="BE150" s="79">
        <f t="shared" si="24"/>
        <v>0</v>
      </c>
      <c r="BF150" s="79">
        <f t="shared" si="25"/>
        <v>0</v>
      </c>
      <c r="BG150" s="79">
        <f t="shared" si="26"/>
        <v>0</v>
      </c>
      <c r="BH150" s="79">
        <f t="shared" si="27"/>
        <v>0</v>
      </c>
      <c r="BI150" s="79">
        <f t="shared" si="28"/>
        <v>0</v>
      </c>
      <c r="BJ150" s="79">
        <f t="shared" si="29"/>
        <v>0</v>
      </c>
      <c r="BK150" s="56"/>
      <c r="BL150" s="56"/>
    </row>
    <row r="151" spans="1:64" x14ac:dyDescent="0.3">
      <c r="A151" s="12" t="str">
        <f>IF(ISBLANK($C151),"",MAX($A$95:$A150)+0.01)</f>
        <v/>
      </c>
      <c r="B151" s="52"/>
      <c r="C151" s="48"/>
      <c r="D151" s="44"/>
      <c r="E151" s="45"/>
      <c r="F151" s="44"/>
      <c r="G151" s="45"/>
      <c r="H151" s="46" t="str">
        <f t="shared" si="45"/>
        <v/>
      </c>
      <c r="I151" s="45"/>
      <c r="J151" s="46" t="str">
        <f t="shared" si="46"/>
        <v/>
      </c>
      <c r="K151" s="45"/>
      <c r="L151" s="46" t="str">
        <f t="shared" si="47"/>
        <v/>
      </c>
      <c r="M151" s="45"/>
      <c r="N151" s="46" t="str">
        <f t="shared" si="48"/>
        <v/>
      </c>
      <c r="O151" s="44"/>
      <c r="P151" s="45"/>
      <c r="Q151" s="46" t="str">
        <f t="shared" si="49"/>
        <v/>
      </c>
      <c r="R151" s="53" t="str">
        <f t="shared" si="50"/>
        <v/>
      </c>
      <c r="S151" s="43"/>
      <c r="T151" s="43"/>
      <c r="U151" s="43"/>
      <c r="W151" s="37">
        <v>0</v>
      </c>
      <c r="X151" s="37">
        <v>0</v>
      </c>
      <c r="Y151" s="37">
        <v>0</v>
      </c>
      <c r="Z151" s="37">
        <v>0</v>
      </c>
      <c r="AA151" s="37">
        <v>0</v>
      </c>
      <c r="AB151" s="38">
        <v>0</v>
      </c>
      <c r="AC151" s="38">
        <v>0</v>
      </c>
      <c r="AD151" s="38">
        <v>0</v>
      </c>
      <c r="AE151" s="38">
        <v>0</v>
      </c>
      <c r="AF151" s="38">
        <v>0</v>
      </c>
      <c r="AG151" s="36">
        <f t="shared" si="51"/>
        <v>0</v>
      </c>
      <c r="AI151" s="56"/>
      <c r="AJ151" s="56"/>
      <c r="AK151" s="56"/>
      <c r="AL151" s="56"/>
      <c r="AM151" s="79">
        <f t="shared" si="10"/>
        <v>0</v>
      </c>
      <c r="AN151" s="79">
        <f t="shared" si="11"/>
        <v>0</v>
      </c>
      <c r="AO151" s="79">
        <f t="shared" si="12"/>
        <v>0</v>
      </c>
      <c r="AP151" s="79">
        <f t="shared" si="13"/>
        <v>0</v>
      </c>
      <c r="AQ151" s="79">
        <f t="shared" si="12"/>
        <v>0</v>
      </c>
      <c r="AR151" s="79">
        <f t="shared" si="13"/>
        <v>0</v>
      </c>
      <c r="AS151" s="79">
        <f t="shared" si="14"/>
        <v>0</v>
      </c>
      <c r="AT151" s="79">
        <f t="shared" si="15"/>
        <v>0</v>
      </c>
      <c r="AU151" s="79">
        <f t="shared" si="16"/>
        <v>0</v>
      </c>
      <c r="AV151" s="79">
        <f t="shared" si="17"/>
        <v>0</v>
      </c>
      <c r="AW151" s="79">
        <f t="shared" si="18"/>
        <v>0</v>
      </c>
      <c r="AX151" s="79">
        <f t="shared" si="19"/>
        <v>0</v>
      </c>
      <c r="AY151" s="79">
        <f t="shared" si="20"/>
        <v>0</v>
      </c>
      <c r="AZ151" s="79">
        <f t="shared" si="21"/>
        <v>0</v>
      </c>
      <c r="BA151" s="79">
        <f t="shared" si="22"/>
        <v>0</v>
      </c>
      <c r="BB151" s="79">
        <f t="shared" si="23"/>
        <v>0</v>
      </c>
      <c r="BC151" s="79">
        <f t="shared" si="22"/>
        <v>0</v>
      </c>
      <c r="BD151" s="79">
        <f t="shared" si="23"/>
        <v>0</v>
      </c>
      <c r="BE151" s="79">
        <f t="shared" si="24"/>
        <v>0</v>
      </c>
      <c r="BF151" s="79">
        <f t="shared" si="25"/>
        <v>0</v>
      </c>
      <c r="BG151" s="79">
        <f t="shared" si="26"/>
        <v>0</v>
      </c>
      <c r="BH151" s="79">
        <f t="shared" si="27"/>
        <v>0</v>
      </c>
      <c r="BI151" s="79">
        <f t="shared" si="28"/>
        <v>0</v>
      </c>
      <c r="BJ151" s="79">
        <f t="shared" si="29"/>
        <v>0</v>
      </c>
      <c r="BK151" s="56"/>
      <c r="BL151" s="56"/>
    </row>
    <row r="152" spans="1:64" x14ac:dyDescent="0.3">
      <c r="A152" s="12" t="str">
        <f>IF(ISBLANK($C152),"",MAX($A$95:$A151)+0.01)</f>
        <v/>
      </c>
      <c r="B152" s="52"/>
      <c r="C152" s="48"/>
      <c r="D152" s="44"/>
      <c r="E152" s="45"/>
      <c r="F152" s="44"/>
      <c r="G152" s="45"/>
      <c r="H152" s="46" t="str">
        <f t="shared" si="45"/>
        <v/>
      </c>
      <c r="I152" s="45"/>
      <c r="J152" s="46" t="str">
        <f t="shared" si="46"/>
        <v/>
      </c>
      <c r="K152" s="45"/>
      <c r="L152" s="46" t="str">
        <f t="shared" si="47"/>
        <v/>
      </c>
      <c r="M152" s="45"/>
      <c r="N152" s="46" t="str">
        <f t="shared" si="48"/>
        <v/>
      </c>
      <c r="O152" s="44"/>
      <c r="P152" s="45"/>
      <c r="Q152" s="46" t="str">
        <f t="shared" si="49"/>
        <v/>
      </c>
      <c r="R152" s="53" t="str">
        <f t="shared" si="50"/>
        <v/>
      </c>
      <c r="S152" s="43"/>
      <c r="T152" s="43"/>
      <c r="U152" s="43"/>
      <c r="W152" s="37">
        <v>0</v>
      </c>
      <c r="X152" s="37">
        <v>0</v>
      </c>
      <c r="Y152" s="37">
        <v>0</v>
      </c>
      <c r="Z152" s="37">
        <v>0</v>
      </c>
      <c r="AA152" s="37">
        <v>0</v>
      </c>
      <c r="AB152" s="38">
        <v>0</v>
      </c>
      <c r="AC152" s="38">
        <v>0</v>
      </c>
      <c r="AD152" s="38">
        <v>0</v>
      </c>
      <c r="AE152" s="38">
        <v>0</v>
      </c>
      <c r="AF152" s="38">
        <v>0</v>
      </c>
      <c r="AG152" s="36">
        <f t="shared" si="51"/>
        <v>0</v>
      </c>
      <c r="AI152" s="56"/>
      <c r="AJ152" s="56"/>
      <c r="AK152" s="56"/>
      <c r="AL152" s="56"/>
      <c r="AM152" s="79">
        <f t="shared" si="10"/>
        <v>0</v>
      </c>
      <c r="AN152" s="79">
        <f t="shared" si="11"/>
        <v>0</v>
      </c>
      <c r="AO152" s="79">
        <f t="shared" si="12"/>
        <v>0</v>
      </c>
      <c r="AP152" s="79">
        <f t="shared" si="13"/>
        <v>0</v>
      </c>
      <c r="AQ152" s="79">
        <f t="shared" si="12"/>
        <v>0</v>
      </c>
      <c r="AR152" s="79">
        <f t="shared" si="13"/>
        <v>0</v>
      </c>
      <c r="AS152" s="79">
        <f t="shared" si="14"/>
        <v>0</v>
      </c>
      <c r="AT152" s="79">
        <f t="shared" si="15"/>
        <v>0</v>
      </c>
      <c r="AU152" s="79">
        <f t="shared" si="16"/>
        <v>0</v>
      </c>
      <c r="AV152" s="79">
        <f t="shared" si="17"/>
        <v>0</v>
      </c>
      <c r="AW152" s="79">
        <f t="shared" si="18"/>
        <v>0</v>
      </c>
      <c r="AX152" s="79">
        <f t="shared" si="19"/>
        <v>0</v>
      </c>
      <c r="AY152" s="79">
        <f t="shared" si="20"/>
        <v>0</v>
      </c>
      <c r="AZ152" s="79">
        <f t="shared" si="21"/>
        <v>0</v>
      </c>
      <c r="BA152" s="79">
        <f t="shared" si="22"/>
        <v>0</v>
      </c>
      <c r="BB152" s="79">
        <f t="shared" si="23"/>
        <v>0</v>
      </c>
      <c r="BC152" s="79">
        <f t="shared" si="22"/>
        <v>0</v>
      </c>
      <c r="BD152" s="79">
        <f t="shared" si="23"/>
        <v>0</v>
      </c>
      <c r="BE152" s="79">
        <f t="shared" si="24"/>
        <v>0</v>
      </c>
      <c r="BF152" s="79">
        <f t="shared" si="25"/>
        <v>0</v>
      </c>
      <c r="BG152" s="79">
        <f t="shared" si="26"/>
        <v>0</v>
      </c>
      <c r="BH152" s="79">
        <f t="shared" si="27"/>
        <v>0</v>
      </c>
      <c r="BI152" s="79">
        <f t="shared" si="28"/>
        <v>0</v>
      </c>
      <c r="BJ152" s="79">
        <f t="shared" si="29"/>
        <v>0</v>
      </c>
      <c r="BK152" s="56"/>
      <c r="BL152" s="56"/>
    </row>
    <row r="153" spans="1:64" x14ac:dyDescent="0.3">
      <c r="A153" s="12" t="str">
        <f>IF(ISBLANK($C153),"",MAX($A$95:$A152)+0.01)</f>
        <v/>
      </c>
      <c r="B153" s="52"/>
      <c r="C153" s="48"/>
      <c r="D153" s="44"/>
      <c r="E153" s="45"/>
      <c r="F153" s="44"/>
      <c r="G153" s="45"/>
      <c r="H153" s="46" t="str">
        <f t="shared" si="45"/>
        <v/>
      </c>
      <c r="I153" s="45"/>
      <c r="J153" s="46" t="str">
        <f t="shared" si="46"/>
        <v/>
      </c>
      <c r="K153" s="45"/>
      <c r="L153" s="46" t="str">
        <f t="shared" si="47"/>
        <v/>
      </c>
      <c r="M153" s="45"/>
      <c r="N153" s="46" t="str">
        <f t="shared" si="48"/>
        <v/>
      </c>
      <c r="O153" s="44"/>
      <c r="P153" s="45"/>
      <c r="Q153" s="46" t="str">
        <f t="shared" si="49"/>
        <v/>
      </c>
      <c r="R153" s="53" t="str">
        <f t="shared" si="50"/>
        <v/>
      </c>
      <c r="S153" s="43"/>
      <c r="T153" s="43"/>
      <c r="U153" s="43"/>
      <c r="W153" s="37">
        <v>0</v>
      </c>
      <c r="X153" s="37">
        <v>0</v>
      </c>
      <c r="Y153" s="37">
        <v>0</v>
      </c>
      <c r="Z153" s="37">
        <v>0</v>
      </c>
      <c r="AA153" s="37">
        <v>0</v>
      </c>
      <c r="AB153" s="38">
        <v>0</v>
      </c>
      <c r="AC153" s="38">
        <v>0</v>
      </c>
      <c r="AD153" s="38">
        <v>0</v>
      </c>
      <c r="AE153" s="38">
        <v>0</v>
      </c>
      <c r="AF153" s="38">
        <v>0</v>
      </c>
      <c r="AG153" s="36">
        <f t="shared" si="51"/>
        <v>0</v>
      </c>
      <c r="AI153" s="56"/>
      <c r="AJ153" s="56"/>
      <c r="AK153" s="56"/>
      <c r="AL153" s="56"/>
      <c r="AM153" s="79">
        <f t="shared" si="10"/>
        <v>0</v>
      </c>
      <c r="AN153" s="79">
        <f t="shared" si="11"/>
        <v>0</v>
      </c>
      <c r="AO153" s="79">
        <f t="shared" si="12"/>
        <v>0</v>
      </c>
      <c r="AP153" s="79">
        <f t="shared" si="13"/>
        <v>0</v>
      </c>
      <c r="AQ153" s="79">
        <f t="shared" si="12"/>
        <v>0</v>
      </c>
      <c r="AR153" s="79">
        <f t="shared" si="13"/>
        <v>0</v>
      </c>
      <c r="AS153" s="79">
        <f t="shared" si="14"/>
        <v>0</v>
      </c>
      <c r="AT153" s="79">
        <f t="shared" si="15"/>
        <v>0</v>
      </c>
      <c r="AU153" s="79">
        <f t="shared" si="16"/>
        <v>0</v>
      </c>
      <c r="AV153" s="79">
        <f t="shared" si="17"/>
        <v>0</v>
      </c>
      <c r="AW153" s="79">
        <f t="shared" si="18"/>
        <v>0</v>
      </c>
      <c r="AX153" s="79">
        <f t="shared" si="19"/>
        <v>0</v>
      </c>
      <c r="AY153" s="79">
        <f t="shared" si="20"/>
        <v>0</v>
      </c>
      <c r="AZ153" s="79">
        <f t="shared" si="21"/>
        <v>0</v>
      </c>
      <c r="BA153" s="79">
        <f t="shared" si="22"/>
        <v>0</v>
      </c>
      <c r="BB153" s="79">
        <f t="shared" si="23"/>
        <v>0</v>
      </c>
      <c r="BC153" s="79">
        <f t="shared" si="22"/>
        <v>0</v>
      </c>
      <c r="BD153" s="79">
        <f t="shared" si="23"/>
        <v>0</v>
      </c>
      <c r="BE153" s="79">
        <f t="shared" si="24"/>
        <v>0</v>
      </c>
      <c r="BF153" s="79">
        <f t="shared" si="25"/>
        <v>0</v>
      </c>
      <c r="BG153" s="79">
        <f t="shared" si="26"/>
        <v>0</v>
      </c>
      <c r="BH153" s="79">
        <f t="shared" si="27"/>
        <v>0</v>
      </c>
      <c r="BI153" s="79">
        <f t="shared" si="28"/>
        <v>0</v>
      </c>
      <c r="BJ153" s="79">
        <f t="shared" si="29"/>
        <v>0</v>
      </c>
      <c r="BK153" s="56"/>
      <c r="BL153" s="56"/>
    </row>
    <row r="154" spans="1:64" ht="24" customHeight="1" x14ac:dyDescent="0.3">
      <c r="A154" s="20"/>
      <c r="B154" s="234" t="s">
        <v>1506</v>
      </c>
      <c r="C154" s="234"/>
      <c r="D154" s="234"/>
      <c r="E154" s="234"/>
      <c r="F154" s="234"/>
      <c r="G154" s="234"/>
      <c r="H154" s="234"/>
      <c r="I154" s="234"/>
      <c r="J154" s="234"/>
      <c r="K154" s="234"/>
      <c r="L154" s="234"/>
      <c r="M154" s="234"/>
      <c r="N154" s="234"/>
      <c r="O154" s="234"/>
      <c r="P154" s="234"/>
      <c r="Q154" s="234"/>
      <c r="R154" s="234"/>
      <c r="S154" s="234"/>
      <c r="T154" s="234"/>
      <c r="U154" s="234"/>
      <c r="AI154" s="56"/>
      <c r="AJ154" s="56"/>
      <c r="AK154" s="56"/>
      <c r="AL154" s="56"/>
      <c r="AM154" s="79">
        <f t="shared" si="10"/>
        <v>0</v>
      </c>
      <c r="AN154" s="79">
        <f t="shared" si="11"/>
        <v>0</v>
      </c>
      <c r="AO154" s="79">
        <f t="shared" si="12"/>
        <v>0</v>
      </c>
      <c r="AP154" s="79">
        <f t="shared" si="13"/>
        <v>0</v>
      </c>
      <c r="AQ154" s="79">
        <f t="shared" si="12"/>
        <v>0</v>
      </c>
      <c r="AR154" s="79">
        <f t="shared" si="13"/>
        <v>0</v>
      </c>
      <c r="AS154" s="79">
        <f t="shared" si="14"/>
        <v>0</v>
      </c>
      <c r="AT154" s="79">
        <f t="shared" si="15"/>
        <v>0</v>
      </c>
      <c r="AU154" s="79">
        <f t="shared" si="16"/>
        <v>0</v>
      </c>
      <c r="AV154" s="79">
        <f t="shared" si="17"/>
        <v>0</v>
      </c>
      <c r="AW154" s="79">
        <f t="shared" si="18"/>
        <v>0</v>
      </c>
      <c r="AX154" s="79">
        <f t="shared" si="19"/>
        <v>0</v>
      </c>
      <c r="AY154" s="79">
        <f t="shared" si="20"/>
        <v>0</v>
      </c>
      <c r="AZ154" s="79">
        <f t="shared" si="21"/>
        <v>0</v>
      </c>
      <c r="BA154" s="79">
        <f t="shared" si="22"/>
        <v>0</v>
      </c>
      <c r="BB154" s="79">
        <f t="shared" si="23"/>
        <v>0</v>
      </c>
      <c r="BC154" s="79">
        <f t="shared" si="22"/>
        <v>0</v>
      </c>
      <c r="BD154" s="79">
        <f t="shared" si="23"/>
        <v>0</v>
      </c>
      <c r="BE154" s="79">
        <f t="shared" si="24"/>
        <v>0</v>
      </c>
      <c r="BF154" s="79">
        <f t="shared" si="25"/>
        <v>0</v>
      </c>
      <c r="BG154" s="79">
        <f t="shared" si="26"/>
        <v>0</v>
      </c>
      <c r="BH154" s="79">
        <f t="shared" si="27"/>
        <v>0</v>
      </c>
      <c r="BI154" s="79">
        <f t="shared" si="28"/>
        <v>0</v>
      </c>
      <c r="BJ154" s="79">
        <f t="shared" si="29"/>
        <v>0</v>
      </c>
      <c r="BK154" s="56"/>
      <c r="BL154" s="56"/>
    </row>
    <row r="155" spans="1:64" ht="41.4" x14ac:dyDescent="0.3">
      <c r="A155" s="12">
        <f>IF(ISBLANK($C155),"",MAX($A$95:$A154)+0.01)</f>
        <v>4.3599999999999923</v>
      </c>
      <c r="B155" s="65" t="s">
        <v>1504</v>
      </c>
      <c r="C155" s="66" t="s">
        <v>1507</v>
      </c>
      <c r="D155" s="44"/>
      <c r="E155" s="45" t="s">
        <v>91</v>
      </c>
      <c r="F155" s="44"/>
      <c r="G155" s="45"/>
      <c r="H155" s="46" t="str">
        <f t="shared" ref="H155:H168" si="52">IFERROR(VLOOKUP($E155,$D$199:$E$203,2,FALSE)*VLOOKUP($G155,$D$206:$E$210,2,FALSE),"")</f>
        <v/>
      </c>
      <c r="I155" s="45"/>
      <c r="J155" s="46" t="str">
        <f t="shared" ref="J155:J168" si="53">IFERROR(VLOOKUP($E155,$D$199:$E$203,2,FALSE)*VLOOKUP($I155,$D$213:$E$217,2,FALSE),"")</f>
        <v/>
      </c>
      <c r="K155" s="45"/>
      <c r="L155" s="46" t="str">
        <f t="shared" ref="L155:L168" si="54">IFERROR(VLOOKUP($E155,$D$199:$E$203,2,FALSE)*VLOOKUP($K155,$D$220:$E$224,2,FALSE),"")</f>
        <v/>
      </c>
      <c r="M155" s="45"/>
      <c r="N155" s="46" t="str">
        <f t="shared" ref="N155:N168" si="55">IFERROR(VLOOKUP($E155,$D$199:$E$203,2,FALSE)*VLOOKUP($M155,$D$227:$E$231,2,FALSE),"")</f>
        <v/>
      </c>
      <c r="O155" s="44"/>
      <c r="P155" s="45"/>
      <c r="Q155" s="46" t="str">
        <f t="shared" ref="Q155:Q168" si="56">IFERROR(VLOOKUP($E155,$D$199:$E$203,2,FALSE)*VLOOKUP($P155,$D$234:$E$238,2,FALSE),"")</f>
        <v/>
      </c>
      <c r="R155" s="53" t="str">
        <f t="shared" ref="R155:R168" si="57">IF(LEFT($D$16,2)="Ja",IF(IFERROR(FIND("DS",$B155),0)&gt;0,IF(_xlfn.NUMBERVALUE($Q155)&gt;=$N$235,"Hoch",IF(_xlfn.NUMBERVALUE($Q155)&gt;=$N$234,"Mittel",IF(_xlfn.NUMBERVALUE($Q155)&gt;0,"Tief",IF($P155="N/A","","Wahl treffen")))),""),"")</f>
        <v>Wahl treffen</v>
      </c>
      <c r="S155" s="43"/>
      <c r="T155" s="43"/>
      <c r="U155" s="43"/>
      <c r="W155" s="37">
        <v>0</v>
      </c>
      <c r="X155" s="37">
        <v>0</v>
      </c>
      <c r="Y155" s="37">
        <v>0</v>
      </c>
      <c r="Z155" s="37">
        <v>0</v>
      </c>
      <c r="AA155" s="37">
        <v>0</v>
      </c>
      <c r="AB155" s="38">
        <v>0</v>
      </c>
      <c r="AC155" s="38">
        <v>0</v>
      </c>
      <c r="AD155" s="38">
        <v>0</v>
      </c>
      <c r="AE155" s="38">
        <v>0</v>
      </c>
      <c r="AF155" s="38">
        <v>0</v>
      </c>
      <c r="AG155" s="36">
        <f>IF($AG$100=5,SUM(AB155:AF155),IF($AG$100=4,SUM(AB155:AE155),IF($AG$100=3,SUM(AB155:AD155),IF($AG$100=2,SUM(AB155:AC155),AB155))))/$AG$100</f>
        <v>0</v>
      </c>
      <c r="AI155" s="56"/>
      <c r="AJ155" s="56"/>
      <c r="AK155" s="56"/>
      <c r="AL155" s="56"/>
      <c r="AM155" s="79">
        <f t="shared" si="10"/>
        <v>0</v>
      </c>
      <c r="AN155" s="79">
        <f t="shared" si="11"/>
        <v>0</v>
      </c>
      <c r="AO155" s="79">
        <f t="shared" si="12"/>
        <v>0</v>
      </c>
      <c r="AP155" s="79">
        <f t="shared" si="13"/>
        <v>0</v>
      </c>
      <c r="AQ155" s="79">
        <f t="shared" si="12"/>
        <v>0</v>
      </c>
      <c r="AR155" s="79">
        <f t="shared" si="13"/>
        <v>0</v>
      </c>
      <c r="AS155" s="79">
        <f t="shared" si="14"/>
        <v>0</v>
      </c>
      <c r="AT155" s="79">
        <f t="shared" si="15"/>
        <v>0</v>
      </c>
      <c r="AU155" s="79">
        <f t="shared" si="16"/>
        <v>0</v>
      </c>
      <c r="AV155" s="79">
        <f t="shared" si="17"/>
        <v>0</v>
      </c>
      <c r="AW155" s="79">
        <f t="shared" si="18"/>
        <v>0</v>
      </c>
      <c r="AX155" s="79">
        <f t="shared" si="19"/>
        <v>0</v>
      </c>
      <c r="AY155" s="79">
        <f t="shared" si="20"/>
        <v>0</v>
      </c>
      <c r="AZ155" s="79">
        <f t="shared" si="21"/>
        <v>0</v>
      </c>
      <c r="BA155" s="79">
        <f t="shared" si="22"/>
        <v>0</v>
      </c>
      <c r="BB155" s="79">
        <f t="shared" si="23"/>
        <v>0</v>
      </c>
      <c r="BC155" s="79">
        <f t="shared" si="22"/>
        <v>0</v>
      </c>
      <c r="BD155" s="79">
        <f t="shared" si="23"/>
        <v>0</v>
      </c>
      <c r="BE155" s="79">
        <f t="shared" si="24"/>
        <v>0</v>
      </c>
      <c r="BF155" s="79">
        <f t="shared" si="25"/>
        <v>0</v>
      </c>
      <c r="BG155" s="79">
        <f t="shared" si="26"/>
        <v>0</v>
      </c>
      <c r="BH155" s="79">
        <f t="shared" si="27"/>
        <v>0</v>
      </c>
      <c r="BI155" s="79">
        <f t="shared" si="28"/>
        <v>0</v>
      </c>
      <c r="BJ155" s="79">
        <f t="shared" si="29"/>
        <v>0</v>
      </c>
      <c r="BK155" s="56"/>
      <c r="BL155" s="56"/>
    </row>
    <row r="156" spans="1:64" ht="27.6" x14ac:dyDescent="0.3">
      <c r="A156" s="12">
        <f>IF(ISBLANK($C156),"",MAX($A$95:$A155)+0.01)</f>
        <v>4.3699999999999921</v>
      </c>
      <c r="B156" s="65" t="s">
        <v>1504</v>
      </c>
      <c r="C156" s="66" t="s">
        <v>1508</v>
      </c>
      <c r="D156" s="44"/>
      <c r="E156" s="45" t="s">
        <v>91</v>
      </c>
      <c r="F156" s="44"/>
      <c r="G156" s="45"/>
      <c r="H156" s="46" t="str">
        <f t="shared" si="52"/>
        <v/>
      </c>
      <c r="I156" s="45"/>
      <c r="J156" s="46" t="str">
        <f t="shared" si="53"/>
        <v/>
      </c>
      <c r="K156" s="45"/>
      <c r="L156" s="46" t="str">
        <f t="shared" si="54"/>
        <v/>
      </c>
      <c r="M156" s="45"/>
      <c r="N156" s="46" t="str">
        <f t="shared" si="55"/>
        <v/>
      </c>
      <c r="O156" s="44"/>
      <c r="P156" s="45"/>
      <c r="Q156" s="46" t="str">
        <f t="shared" si="56"/>
        <v/>
      </c>
      <c r="R156" s="53" t="str">
        <f t="shared" si="57"/>
        <v>Wahl treffen</v>
      </c>
      <c r="S156" s="43"/>
      <c r="T156" s="43"/>
      <c r="U156" s="43"/>
      <c r="W156" s="37">
        <v>0</v>
      </c>
      <c r="X156" s="37">
        <v>0</v>
      </c>
      <c r="Y156" s="37">
        <v>0</v>
      </c>
      <c r="Z156" s="37">
        <v>0</v>
      </c>
      <c r="AA156" s="37">
        <v>0</v>
      </c>
      <c r="AB156" s="38">
        <v>0</v>
      </c>
      <c r="AC156" s="38">
        <v>0</v>
      </c>
      <c r="AD156" s="38">
        <v>0</v>
      </c>
      <c r="AE156" s="38">
        <v>0</v>
      </c>
      <c r="AF156" s="38">
        <v>0</v>
      </c>
      <c r="AG156" s="36">
        <f t="shared" ref="AG156" si="58">IF($AG$100=5,SUM(AB156:AF156),IF($AG$100=4,SUM(AB156:AE156),IF($AG$100=3,SUM(AB156:AD156),IF($AG$100=2,SUM(AB156:AC156),AB156))))/$AG$100</f>
        <v>0</v>
      </c>
      <c r="AI156" s="56"/>
      <c r="AJ156" s="56"/>
      <c r="AK156" s="56"/>
      <c r="AL156" s="56"/>
      <c r="AM156" s="79">
        <f t="shared" si="10"/>
        <v>0</v>
      </c>
      <c r="AN156" s="79">
        <f t="shared" si="11"/>
        <v>0</v>
      </c>
      <c r="AO156" s="79">
        <f t="shared" si="12"/>
        <v>0</v>
      </c>
      <c r="AP156" s="79">
        <f t="shared" si="13"/>
        <v>0</v>
      </c>
      <c r="AQ156" s="79">
        <f t="shared" si="12"/>
        <v>0</v>
      </c>
      <c r="AR156" s="79">
        <f t="shared" si="13"/>
        <v>0</v>
      </c>
      <c r="AS156" s="79">
        <f t="shared" si="14"/>
        <v>0</v>
      </c>
      <c r="AT156" s="79">
        <f t="shared" si="15"/>
        <v>0</v>
      </c>
      <c r="AU156" s="79">
        <f t="shared" si="16"/>
        <v>0</v>
      </c>
      <c r="AV156" s="79">
        <f t="shared" si="17"/>
        <v>0</v>
      </c>
      <c r="AW156" s="79">
        <f t="shared" si="18"/>
        <v>0</v>
      </c>
      <c r="AX156" s="79">
        <f t="shared" si="19"/>
        <v>0</v>
      </c>
      <c r="AY156" s="79">
        <f t="shared" si="20"/>
        <v>0</v>
      </c>
      <c r="AZ156" s="79">
        <f t="shared" si="21"/>
        <v>0</v>
      </c>
      <c r="BA156" s="79">
        <f t="shared" si="22"/>
        <v>0</v>
      </c>
      <c r="BB156" s="79">
        <f t="shared" si="23"/>
        <v>0</v>
      </c>
      <c r="BC156" s="79">
        <f t="shared" si="22"/>
        <v>0</v>
      </c>
      <c r="BD156" s="79">
        <f t="shared" si="23"/>
        <v>0</v>
      </c>
      <c r="BE156" s="79">
        <f t="shared" si="24"/>
        <v>0</v>
      </c>
      <c r="BF156" s="79">
        <f t="shared" si="25"/>
        <v>0</v>
      </c>
      <c r="BG156" s="79">
        <f t="shared" si="26"/>
        <v>0</v>
      </c>
      <c r="BH156" s="79">
        <f t="shared" si="27"/>
        <v>0</v>
      </c>
      <c r="BI156" s="79">
        <f t="shared" si="28"/>
        <v>0</v>
      </c>
      <c r="BJ156" s="79">
        <f t="shared" si="29"/>
        <v>0</v>
      </c>
      <c r="BK156" s="56"/>
      <c r="BL156" s="56"/>
    </row>
    <row r="157" spans="1:64" ht="55.2" x14ac:dyDescent="0.3">
      <c r="A157" s="12">
        <f>IF(ISBLANK($C157),"",MAX($A$95:$A156)+0.01)</f>
        <v>4.3799999999999919</v>
      </c>
      <c r="B157" s="65" t="s">
        <v>1504</v>
      </c>
      <c r="C157" s="66" t="s">
        <v>1509</v>
      </c>
      <c r="D157" s="44"/>
      <c r="E157" s="45" t="s">
        <v>91</v>
      </c>
      <c r="F157" s="44"/>
      <c r="G157" s="45"/>
      <c r="H157" s="46" t="str">
        <f t="shared" si="52"/>
        <v/>
      </c>
      <c r="I157" s="45"/>
      <c r="J157" s="46" t="str">
        <f t="shared" si="53"/>
        <v/>
      </c>
      <c r="K157" s="45"/>
      <c r="L157" s="46" t="str">
        <f t="shared" si="54"/>
        <v/>
      </c>
      <c r="M157" s="45"/>
      <c r="N157" s="46" t="str">
        <f t="shared" si="55"/>
        <v/>
      </c>
      <c r="O157" s="44"/>
      <c r="P157" s="45"/>
      <c r="Q157" s="46" t="str">
        <f t="shared" si="56"/>
        <v/>
      </c>
      <c r="R157" s="53" t="str">
        <f t="shared" si="57"/>
        <v>Wahl treffen</v>
      </c>
      <c r="S157" s="43"/>
      <c r="T157" s="43"/>
      <c r="U157" s="43"/>
      <c r="W157" s="37">
        <v>0</v>
      </c>
      <c r="X157" s="37">
        <v>0</v>
      </c>
      <c r="Y157" s="37">
        <v>0</v>
      </c>
      <c r="Z157" s="37">
        <v>0</v>
      </c>
      <c r="AA157" s="37">
        <v>0</v>
      </c>
      <c r="AB157" s="38">
        <v>0</v>
      </c>
      <c r="AC157" s="38">
        <v>0</v>
      </c>
      <c r="AD157" s="38">
        <v>0</v>
      </c>
      <c r="AE157" s="38">
        <v>0</v>
      </c>
      <c r="AF157" s="38">
        <v>0</v>
      </c>
      <c r="AG157" s="36">
        <f>IF($AG$100=5,SUM(AB157:AF157),IF($AG$100=4,SUM(AB157:AE157),IF($AG$100=3,SUM(AB157:AD157),IF($AG$100=2,SUM(AB157:AC157),AB157))))/$AG$100</f>
        <v>0</v>
      </c>
      <c r="AI157" s="56"/>
      <c r="AJ157" s="56"/>
      <c r="AK157" s="56"/>
      <c r="AL157" s="56"/>
      <c r="AM157" s="79">
        <f t="shared" si="10"/>
        <v>0</v>
      </c>
      <c r="AN157" s="79">
        <f t="shared" si="11"/>
        <v>0</v>
      </c>
      <c r="AO157" s="79">
        <f t="shared" si="12"/>
        <v>0</v>
      </c>
      <c r="AP157" s="79">
        <f t="shared" si="13"/>
        <v>0</v>
      </c>
      <c r="AQ157" s="79">
        <f t="shared" si="12"/>
        <v>0</v>
      </c>
      <c r="AR157" s="79">
        <f t="shared" si="13"/>
        <v>0</v>
      </c>
      <c r="AS157" s="79">
        <f t="shared" si="14"/>
        <v>0</v>
      </c>
      <c r="AT157" s="79">
        <f t="shared" si="15"/>
        <v>0</v>
      </c>
      <c r="AU157" s="79">
        <f t="shared" si="16"/>
        <v>0</v>
      </c>
      <c r="AV157" s="79">
        <f t="shared" si="17"/>
        <v>0</v>
      </c>
      <c r="AW157" s="79">
        <f t="shared" si="18"/>
        <v>0</v>
      </c>
      <c r="AX157" s="79">
        <f t="shared" si="19"/>
        <v>0</v>
      </c>
      <c r="AY157" s="79">
        <f t="shared" si="20"/>
        <v>0</v>
      </c>
      <c r="AZ157" s="79">
        <f t="shared" si="21"/>
        <v>0</v>
      </c>
      <c r="BA157" s="79">
        <f t="shared" si="22"/>
        <v>0</v>
      </c>
      <c r="BB157" s="79">
        <f t="shared" si="23"/>
        <v>0</v>
      </c>
      <c r="BC157" s="79">
        <f t="shared" si="22"/>
        <v>0</v>
      </c>
      <c r="BD157" s="79">
        <f t="shared" si="23"/>
        <v>0</v>
      </c>
      <c r="BE157" s="79">
        <f t="shared" si="24"/>
        <v>0</v>
      </c>
      <c r="BF157" s="79">
        <f t="shared" si="25"/>
        <v>0</v>
      </c>
      <c r="BG157" s="79">
        <f t="shared" si="26"/>
        <v>0</v>
      </c>
      <c r="BH157" s="79">
        <f t="shared" si="27"/>
        <v>0</v>
      </c>
      <c r="BI157" s="79">
        <f t="shared" si="28"/>
        <v>0</v>
      </c>
      <c r="BJ157" s="79">
        <f t="shared" si="29"/>
        <v>0</v>
      </c>
      <c r="BK157" s="56"/>
      <c r="BL157" s="56"/>
    </row>
    <row r="158" spans="1:64" ht="41.4" x14ac:dyDescent="0.3">
      <c r="A158" s="12">
        <f>IF(ISBLANK($C158),"",MAX($A$95:$A157)+0.01)</f>
        <v>4.3899999999999917</v>
      </c>
      <c r="B158" s="65" t="s">
        <v>1444</v>
      </c>
      <c r="C158" s="70" t="s">
        <v>1510</v>
      </c>
      <c r="D158" s="44"/>
      <c r="E158" s="45" t="s">
        <v>91</v>
      </c>
      <c r="F158" s="44"/>
      <c r="G158" s="45"/>
      <c r="H158" s="46" t="str">
        <f t="shared" si="52"/>
        <v/>
      </c>
      <c r="I158" s="45"/>
      <c r="J158" s="46" t="str">
        <f t="shared" si="53"/>
        <v/>
      </c>
      <c r="K158" s="45"/>
      <c r="L158" s="46" t="str">
        <f t="shared" si="54"/>
        <v/>
      </c>
      <c r="M158" s="45"/>
      <c r="N158" s="46" t="str">
        <f t="shared" si="55"/>
        <v/>
      </c>
      <c r="O158" s="44"/>
      <c r="P158" s="45"/>
      <c r="Q158" s="46" t="str">
        <f t="shared" si="56"/>
        <v/>
      </c>
      <c r="R158" s="53" t="str">
        <f t="shared" si="57"/>
        <v>Wahl treffen</v>
      </c>
      <c r="S158" s="43"/>
      <c r="T158" s="43"/>
      <c r="U158" s="43"/>
      <c r="W158" s="37">
        <v>0</v>
      </c>
      <c r="X158" s="37">
        <v>0</v>
      </c>
      <c r="Y158" s="37">
        <v>0</v>
      </c>
      <c r="Z158" s="37">
        <v>0</v>
      </c>
      <c r="AA158" s="37">
        <v>0</v>
      </c>
      <c r="AB158" s="38">
        <v>0</v>
      </c>
      <c r="AC158" s="38">
        <v>0</v>
      </c>
      <c r="AD158" s="38">
        <v>0</v>
      </c>
      <c r="AE158" s="38">
        <v>0</v>
      </c>
      <c r="AF158" s="38">
        <v>0</v>
      </c>
      <c r="AG158" s="36">
        <f t="shared" ref="AG158:AG168" si="59">IF($AG$100=5,SUM(AB158:AF158),IF($AG$100=4,SUM(AB158:AE158),IF($AG$100=3,SUM(AB158:AD158),IF($AG$100=2,SUM(AB158:AC158),AB158))))/$AG$100</f>
        <v>0</v>
      </c>
      <c r="AI158" s="56"/>
      <c r="AJ158" s="56"/>
      <c r="AK158" s="56"/>
      <c r="AL158" s="56"/>
      <c r="AM158" s="79">
        <f t="shared" si="10"/>
        <v>0</v>
      </c>
      <c r="AN158" s="79">
        <f t="shared" si="11"/>
        <v>0</v>
      </c>
      <c r="AO158" s="79">
        <f t="shared" si="12"/>
        <v>0</v>
      </c>
      <c r="AP158" s="79">
        <f t="shared" si="13"/>
        <v>0</v>
      </c>
      <c r="AQ158" s="79">
        <f t="shared" si="12"/>
        <v>0</v>
      </c>
      <c r="AR158" s="79">
        <f t="shared" si="13"/>
        <v>0</v>
      </c>
      <c r="AS158" s="79">
        <f t="shared" si="14"/>
        <v>0</v>
      </c>
      <c r="AT158" s="79">
        <f t="shared" si="15"/>
        <v>0</v>
      </c>
      <c r="AU158" s="79">
        <f t="shared" si="16"/>
        <v>0</v>
      </c>
      <c r="AV158" s="79">
        <f t="shared" si="17"/>
        <v>0</v>
      </c>
      <c r="AW158" s="79">
        <f t="shared" si="18"/>
        <v>0</v>
      </c>
      <c r="AX158" s="79">
        <f t="shared" si="19"/>
        <v>0</v>
      </c>
      <c r="AY158" s="79">
        <f t="shared" si="20"/>
        <v>0</v>
      </c>
      <c r="AZ158" s="79">
        <f t="shared" si="21"/>
        <v>0</v>
      </c>
      <c r="BA158" s="79">
        <f t="shared" si="22"/>
        <v>0</v>
      </c>
      <c r="BB158" s="79">
        <f t="shared" si="23"/>
        <v>0</v>
      </c>
      <c r="BC158" s="79">
        <f t="shared" si="22"/>
        <v>0</v>
      </c>
      <c r="BD158" s="79">
        <f t="shared" si="23"/>
        <v>0</v>
      </c>
      <c r="BE158" s="79">
        <f t="shared" si="24"/>
        <v>0</v>
      </c>
      <c r="BF158" s="79">
        <f t="shared" si="25"/>
        <v>0</v>
      </c>
      <c r="BG158" s="79">
        <f t="shared" si="26"/>
        <v>0</v>
      </c>
      <c r="BH158" s="79">
        <f t="shared" si="27"/>
        <v>0</v>
      </c>
      <c r="BI158" s="79">
        <f t="shared" si="28"/>
        <v>0</v>
      </c>
      <c r="BJ158" s="79">
        <f t="shared" si="29"/>
        <v>0</v>
      </c>
      <c r="BK158" s="56"/>
      <c r="BL158" s="56"/>
    </row>
    <row r="159" spans="1:64" ht="69" x14ac:dyDescent="0.3">
      <c r="A159" s="12">
        <f>IF(ISBLANK($C159),"",MAX($A$95:$A158)+0.01)</f>
        <v>4.3999999999999915</v>
      </c>
      <c r="B159" s="65" t="s">
        <v>13</v>
      </c>
      <c r="C159" s="70" t="s">
        <v>1511</v>
      </c>
      <c r="D159" s="44"/>
      <c r="E159" s="45" t="s">
        <v>91</v>
      </c>
      <c r="F159" s="44"/>
      <c r="G159" s="45"/>
      <c r="H159" s="46" t="str">
        <f t="shared" si="52"/>
        <v/>
      </c>
      <c r="I159" s="45"/>
      <c r="J159" s="46" t="str">
        <f t="shared" si="53"/>
        <v/>
      </c>
      <c r="K159" s="45"/>
      <c r="L159" s="46" t="str">
        <f t="shared" si="54"/>
        <v/>
      </c>
      <c r="M159" s="45"/>
      <c r="N159" s="46" t="str">
        <f t="shared" si="55"/>
        <v/>
      </c>
      <c r="O159" s="44"/>
      <c r="P159" s="45"/>
      <c r="Q159" s="46" t="str">
        <f t="shared" si="56"/>
        <v/>
      </c>
      <c r="R159" s="53" t="str">
        <f t="shared" si="57"/>
        <v/>
      </c>
      <c r="S159" s="43"/>
      <c r="T159" s="43"/>
      <c r="U159" s="43"/>
      <c r="W159" s="37">
        <v>0</v>
      </c>
      <c r="X159" s="37">
        <v>0</v>
      </c>
      <c r="Y159" s="37">
        <v>0</v>
      </c>
      <c r="Z159" s="37">
        <v>0</v>
      </c>
      <c r="AA159" s="37">
        <v>0</v>
      </c>
      <c r="AB159" s="38">
        <v>0</v>
      </c>
      <c r="AC159" s="38">
        <v>0</v>
      </c>
      <c r="AD159" s="38">
        <v>0</v>
      </c>
      <c r="AE159" s="38">
        <v>0</v>
      </c>
      <c r="AF159" s="38">
        <v>0</v>
      </c>
      <c r="AG159" s="36">
        <f t="shared" si="59"/>
        <v>0</v>
      </c>
      <c r="AI159" s="56"/>
      <c r="AJ159" s="56"/>
      <c r="AK159" s="56"/>
      <c r="AL159" s="56"/>
      <c r="AM159" s="79">
        <f t="shared" si="10"/>
        <v>0</v>
      </c>
      <c r="AN159" s="79">
        <f t="shared" si="11"/>
        <v>0</v>
      </c>
      <c r="AO159" s="79">
        <f t="shared" si="12"/>
        <v>0</v>
      </c>
      <c r="AP159" s="79">
        <f t="shared" si="13"/>
        <v>0</v>
      </c>
      <c r="AQ159" s="79">
        <f t="shared" si="12"/>
        <v>0</v>
      </c>
      <c r="AR159" s="79">
        <f t="shared" si="13"/>
        <v>0</v>
      </c>
      <c r="AS159" s="79">
        <f t="shared" si="14"/>
        <v>0</v>
      </c>
      <c r="AT159" s="79">
        <f t="shared" si="15"/>
        <v>0</v>
      </c>
      <c r="AU159" s="79">
        <f t="shared" si="16"/>
        <v>0</v>
      </c>
      <c r="AV159" s="79">
        <f t="shared" si="17"/>
        <v>0</v>
      </c>
      <c r="AW159" s="79">
        <f t="shared" si="18"/>
        <v>0</v>
      </c>
      <c r="AX159" s="79">
        <f t="shared" si="19"/>
        <v>0</v>
      </c>
      <c r="AY159" s="79">
        <f t="shared" si="20"/>
        <v>0</v>
      </c>
      <c r="AZ159" s="79">
        <f t="shared" si="21"/>
        <v>0</v>
      </c>
      <c r="BA159" s="79">
        <f t="shared" si="22"/>
        <v>0</v>
      </c>
      <c r="BB159" s="79">
        <f t="shared" si="23"/>
        <v>0</v>
      </c>
      <c r="BC159" s="79">
        <f t="shared" si="22"/>
        <v>0</v>
      </c>
      <c r="BD159" s="79">
        <f t="shared" si="23"/>
        <v>0</v>
      </c>
      <c r="BE159" s="79">
        <f t="shared" si="24"/>
        <v>0</v>
      </c>
      <c r="BF159" s="79">
        <f t="shared" si="25"/>
        <v>0</v>
      </c>
      <c r="BG159" s="79">
        <f t="shared" si="26"/>
        <v>0</v>
      </c>
      <c r="BH159" s="79">
        <f t="shared" si="27"/>
        <v>0</v>
      </c>
      <c r="BI159" s="79">
        <f t="shared" si="28"/>
        <v>0</v>
      </c>
      <c r="BJ159" s="79">
        <f t="shared" si="29"/>
        <v>0</v>
      </c>
      <c r="BK159" s="56"/>
      <c r="BL159" s="56"/>
    </row>
    <row r="160" spans="1:64" ht="55.2" x14ac:dyDescent="0.3">
      <c r="A160" s="12">
        <f>IF(ISBLANK($C160),"",MAX($A$95:$A159)+0.01)</f>
        <v>4.4099999999999913</v>
      </c>
      <c r="B160" s="65" t="s">
        <v>1472</v>
      </c>
      <c r="C160" s="70" t="s">
        <v>1512</v>
      </c>
      <c r="D160" s="44"/>
      <c r="E160" s="45" t="s">
        <v>91</v>
      </c>
      <c r="F160" s="44"/>
      <c r="G160" s="45"/>
      <c r="H160" s="46" t="str">
        <f t="shared" si="52"/>
        <v/>
      </c>
      <c r="I160" s="45"/>
      <c r="J160" s="46" t="str">
        <f t="shared" si="53"/>
        <v/>
      </c>
      <c r="K160" s="45"/>
      <c r="L160" s="46" t="str">
        <f t="shared" si="54"/>
        <v/>
      </c>
      <c r="M160" s="45"/>
      <c r="N160" s="46" t="str">
        <f t="shared" si="55"/>
        <v/>
      </c>
      <c r="O160" s="44"/>
      <c r="P160" s="45"/>
      <c r="Q160" s="46" t="str">
        <f t="shared" si="56"/>
        <v/>
      </c>
      <c r="R160" s="53" t="str">
        <f t="shared" si="57"/>
        <v/>
      </c>
      <c r="S160" s="43"/>
      <c r="T160" s="43"/>
      <c r="U160" s="43"/>
      <c r="W160" s="37">
        <v>0</v>
      </c>
      <c r="X160" s="37">
        <v>0</v>
      </c>
      <c r="Y160" s="37">
        <v>0</v>
      </c>
      <c r="Z160" s="37">
        <v>0</v>
      </c>
      <c r="AA160" s="37">
        <v>0</v>
      </c>
      <c r="AB160" s="38">
        <v>0</v>
      </c>
      <c r="AC160" s="38">
        <v>0</v>
      </c>
      <c r="AD160" s="38">
        <v>0</v>
      </c>
      <c r="AE160" s="38">
        <v>0</v>
      </c>
      <c r="AF160" s="38">
        <v>0</v>
      </c>
      <c r="AG160" s="36">
        <f t="shared" si="59"/>
        <v>0</v>
      </c>
      <c r="AI160" s="56"/>
      <c r="AJ160" s="56"/>
      <c r="AK160" s="56"/>
      <c r="AL160" s="56"/>
      <c r="AM160" s="79">
        <f t="shared" si="10"/>
        <v>0</v>
      </c>
      <c r="AN160" s="79">
        <f t="shared" si="11"/>
        <v>0</v>
      </c>
      <c r="AO160" s="79">
        <f t="shared" si="12"/>
        <v>0</v>
      </c>
      <c r="AP160" s="79">
        <f t="shared" si="13"/>
        <v>0</v>
      </c>
      <c r="AQ160" s="79">
        <f t="shared" si="12"/>
        <v>0</v>
      </c>
      <c r="AR160" s="79">
        <f t="shared" si="13"/>
        <v>0</v>
      </c>
      <c r="AS160" s="79">
        <f t="shared" si="14"/>
        <v>0</v>
      </c>
      <c r="AT160" s="79">
        <f t="shared" si="15"/>
        <v>0</v>
      </c>
      <c r="AU160" s="79">
        <f t="shared" si="16"/>
        <v>0</v>
      </c>
      <c r="AV160" s="79">
        <f t="shared" si="17"/>
        <v>0</v>
      </c>
      <c r="AW160" s="79">
        <f t="shared" si="18"/>
        <v>0</v>
      </c>
      <c r="AX160" s="79">
        <f t="shared" si="19"/>
        <v>0</v>
      </c>
      <c r="AY160" s="79">
        <f t="shared" si="20"/>
        <v>0</v>
      </c>
      <c r="AZ160" s="79">
        <f t="shared" si="21"/>
        <v>0</v>
      </c>
      <c r="BA160" s="79">
        <f t="shared" si="22"/>
        <v>0</v>
      </c>
      <c r="BB160" s="79">
        <f t="shared" si="23"/>
        <v>0</v>
      </c>
      <c r="BC160" s="79">
        <f t="shared" si="22"/>
        <v>0</v>
      </c>
      <c r="BD160" s="79">
        <f t="shared" si="23"/>
        <v>0</v>
      </c>
      <c r="BE160" s="79">
        <f t="shared" si="24"/>
        <v>0</v>
      </c>
      <c r="BF160" s="79">
        <f t="shared" si="25"/>
        <v>0</v>
      </c>
      <c r="BG160" s="79">
        <f t="shared" si="26"/>
        <v>0</v>
      </c>
      <c r="BH160" s="79">
        <f t="shared" si="27"/>
        <v>0</v>
      </c>
      <c r="BI160" s="79">
        <f t="shared" si="28"/>
        <v>0</v>
      </c>
      <c r="BJ160" s="79">
        <f t="shared" si="29"/>
        <v>0</v>
      </c>
      <c r="BK160" s="56"/>
      <c r="BL160" s="56"/>
    </row>
    <row r="161" spans="1:64" ht="96.6" x14ac:dyDescent="0.3">
      <c r="A161" s="12">
        <f>IF(ISBLANK($C161),"",MAX($A$95:$A160)+0.01)</f>
        <v>4.419999999999991</v>
      </c>
      <c r="B161" s="65" t="s">
        <v>1473</v>
      </c>
      <c r="C161" s="70" t="s">
        <v>1513</v>
      </c>
      <c r="D161" s="44"/>
      <c r="E161" s="45" t="s">
        <v>91</v>
      </c>
      <c r="F161" s="44"/>
      <c r="G161" s="45"/>
      <c r="H161" s="46" t="str">
        <f t="shared" si="52"/>
        <v/>
      </c>
      <c r="I161" s="45"/>
      <c r="J161" s="46" t="str">
        <f t="shared" si="53"/>
        <v/>
      </c>
      <c r="K161" s="45"/>
      <c r="L161" s="46" t="str">
        <f t="shared" si="54"/>
        <v/>
      </c>
      <c r="M161" s="45"/>
      <c r="N161" s="46" t="str">
        <f t="shared" si="55"/>
        <v/>
      </c>
      <c r="O161" s="44"/>
      <c r="P161" s="45"/>
      <c r="Q161" s="46" t="str">
        <f t="shared" si="56"/>
        <v/>
      </c>
      <c r="R161" s="53" t="str">
        <f t="shared" si="57"/>
        <v>Wahl treffen</v>
      </c>
      <c r="S161" s="43"/>
      <c r="T161" s="43"/>
      <c r="U161" s="43"/>
      <c r="W161" s="37">
        <v>0</v>
      </c>
      <c r="X161" s="37">
        <v>0</v>
      </c>
      <c r="Y161" s="37">
        <v>0</v>
      </c>
      <c r="Z161" s="37">
        <v>0</v>
      </c>
      <c r="AA161" s="37">
        <v>0</v>
      </c>
      <c r="AB161" s="38">
        <v>0</v>
      </c>
      <c r="AC161" s="38">
        <v>0</v>
      </c>
      <c r="AD161" s="38">
        <v>0</v>
      </c>
      <c r="AE161" s="38">
        <v>0</v>
      </c>
      <c r="AF161" s="38">
        <v>0</v>
      </c>
      <c r="AG161" s="36">
        <f t="shared" si="59"/>
        <v>0</v>
      </c>
      <c r="AI161" s="56"/>
      <c r="AJ161" s="56"/>
      <c r="AK161" s="56"/>
      <c r="AL161" s="56"/>
      <c r="AM161" s="79">
        <f t="shared" si="10"/>
        <v>0</v>
      </c>
      <c r="AN161" s="79">
        <f t="shared" si="11"/>
        <v>0</v>
      </c>
      <c r="AO161" s="79">
        <f t="shared" si="12"/>
        <v>0</v>
      </c>
      <c r="AP161" s="79">
        <f t="shared" si="13"/>
        <v>0</v>
      </c>
      <c r="AQ161" s="79">
        <f t="shared" si="12"/>
        <v>0</v>
      </c>
      <c r="AR161" s="79">
        <f t="shared" si="13"/>
        <v>0</v>
      </c>
      <c r="AS161" s="79">
        <f t="shared" si="14"/>
        <v>0</v>
      </c>
      <c r="AT161" s="79">
        <f t="shared" si="15"/>
        <v>0</v>
      </c>
      <c r="AU161" s="79">
        <f t="shared" si="16"/>
        <v>0</v>
      </c>
      <c r="AV161" s="79">
        <f t="shared" si="17"/>
        <v>0</v>
      </c>
      <c r="AW161" s="79">
        <f t="shared" si="18"/>
        <v>0</v>
      </c>
      <c r="AX161" s="79">
        <f t="shared" si="19"/>
        <v>0</v>
      </c>
      <c r="AY161" s="79">
        <f t="shared" si="20"/>
        <v>0</v>
      </c>
      <c r="AZ161" s="79">
        <f t="shared" si="21"/>
        <v>0</v>
      </c>
      <c r="BA161" s="79">
        <f t="shared" si="22"/>
        <v>0</v>
      </c>
      <c r="BB161" s="79">
        <f t="shared" si="23"/>
        <v>0</v>
      </c>
      <c r="BC161" s="79">
        <f t="shared" si="22"/>
        <v>0</v>
      </c>
      <c r="BD161" s="79">
        <f t="shared" si="23"/>
        <v>0</v>
      </c>
      <c r="BE161" s="79">
        <f t="shared" si="24"/>
        <v>0</v>
      </c>
      <c r="BF161" s="79">
        <f t="shared" si="25"/>
        <v>0</v>
      </c>
      <c r="BG161" s="79">
        <f t="shared" si="26"/>
        <v>0</v>
      </c>
      <c r="BH161" s="79">
        <f t="shared" si="27"/>
        <v>0</v>
      </c>
      <c r="BI161" s="79">
        <f t="shared" si="28"/>
        <v>0</v>
      </c>
      <c r="BJ161" s="79">
        <f t="shared" si="29"/>
        <v>0</v>
      </c>
      <c r="BK161" s="56"/>
      <c r="BL161" s="56"/>
    </row>
    <row r="162" spans="1:64" ht="69" x14ac:dyDescent="0.3">
      <c r="A162" s="12">
        <f>IF(ISBLANK($C162),"",MAX($A$95:$A161)+0.01)</f>
        <v>4.4299999999999908</v>
      </c>
      <c r="B162" s="65" t="s">
        <v>1473</v>
      </c>
      <c r="C162" s="70" t="s">
        <v>1503</v>
      </c>
      <c r="D162" s="44"/>
      <c r="E162" s="45" t="s">
        <v>91</v>
      </c>
      <c r="F162" s="44"/>
      <c r="G162" s="45"/>
      <c r="H162" s="46" t="str">
        <f t="shared" si="52"/>
        <v/>
      </c>
      <c r="I162" s="45"/>
      <c r="J162" s="46" t="str">
        <f t="shared" si="53"/>
        <v/>
      </c>
      <c r="K162" s="45"/>
      <c r="L162" s="46" t="str">
        <f t="shared" si="54"/>
        <v/>
      </c>
      <c r="M162" s="45"/>
      <c r="N162" s="46" t="str">
        <f t="shared" si="55"/>
        <v/>
      </c>
      <c r="O162" s="44"/>
      <c r="P162" s="45"/>
      <c r="Q162" s="46" t="str">
        <f t="shared" si="56"/>
        <v/>
      </c>
      <c r="R162" s="53" t="str">
        <f t="shared" si="57"/>
        <v>Wahl treffen</v>
      </c>
      <c r="S162" s="43"/>
      <c r="T162" s="43"/>
      <c r="U162" s="43"/>
      <c r="W162" s="37">
        <v>0</v>
      </c>
      <c r="X162" s="37">
        <v>0</v>
      </c>
      <c r="Y162" s="37">
        <v>0</v>
      </c>
      <c r="Z162" s="37">
        <v>0</v>
      </c>
      <c r="AA162" s="37">
        <v>0</v>
      </c>
      <c r="AB162" s="38">
        <v>0</v>
      </c>
      <c r="AC162" s="38">
        <v>0</v>
      </c>
      <c r="AD162" s="38">
        <v>0</v>
      </c>
      <c r="AE162" s="38">
        <v>0</v>
      </c>
      <c r="AF162" s="38">
        <v>0</v>
      </c>
      <c r="AG162" s="36">
        <f t="shared" si="59"/>
        <v>0</v>
      </c>
      <c r="AI162" s="56"/>
      <c r="AJ162" s="56"/>
      <c r="AK162" s="56"/>
      <c r="AL162" s="56"/>
      <c r="AM162" s="79">
        <f t="shared" si="10"/>
        <v>0</v>
      </c>
      <c r="AN162" s="79">
        <f t="shared" si="11"/>
        <v>0</v>
      </c>
      <c r="AO162" s="79">
        <f t="shared" si="12"/>
        <v>0</v>
      </c>
      <c r="AP162" s="79">
        <f t="shared" si="13"/>
        <v>0</v>
      </c>
      <c r="AQ162" s="79">
        <f t="shared" si="12"/>
        <v>0</v>
      </c>
      <c r="AR162" s="79">
        <f t="shared" si="13"/>
        <v>0</v>
      </c>
      <c r="AS162" s="79">
        <f t="shared" si="14"/>
        <v>0</v>
      </c>
      <c r="AT162" s="79">
        <f t="shared" si="15"/>
        <v>0</v>
      </c>
      <c r="AU162" s="79">
        <f t="shared" si="16"/>
        <v>0</v>
      </c>
      <c r="AV162" s="79">
        <f t="shared" si="17"/>
        <v>0</v>
      </c>
      <c r="AW162" s="79">
        <f t="shared" si="18"/>
        <v>0</v>
      </c>
      <c r="AX162" s="79">
        <f t="shared" si="19"/>
        <v>0</v>
      </c>
      <c r="AY162" s="79">
        <f t="shared" si="20"/>
        <v>0</v>
      </c>
      <c r="AZ162" s="79">
        <f t="shared" si="21"/>
        <v>0</v>
      </c>
      <c r="BA162" s="79">
        <f t="shared" si="22"/>
        <v>0</v>
      </c>
      <c r="BB162" s="79">
        <f t="shared" si="23"/>
        <v>0</v>
      </c>
      <c r="BC162" s="79">
        <f t="shared" si="22"/>
        <v>0</v>
      </c>
      <c r="BD162" s="79">
        <f t="shared" si="23"/>
        <v>0</v>
      </c>
      <c r="BE162" s="79">
        <f t="shared" si="24"/>
        <v>0</v>
      </c>
      <c r="BF162" s="79">
        <f t="shared" si="25"/>
        <v>0</v>
      </c>
      <c r="BG162" s="79">
        <f t="shared" si="26"/>
        <v>0</v>
      </c>
      <c r="BH162" s="79">
        <f t="shared" si="27"/>
        <v>0</v>
      </c>
      <c r="BI162" s="79">
        <f t="shared" si="28"/>
        <v>0</v>
      </c>
      <c r="BJ162" s="79">
        <f t="shared" si="29"/>
        <v>0</v>
      </c>
      <c r="BK162" s="56"/>
      <c r="BL162" s="56"/>
    </row>
    <row r="163" spans="1:64" ht="55.2" x14ac:dyDescent="0.3">
      <c r="A163" s="12">
        <f>IF(ISBLANK($C163),"",MAX($A$95:$A162)+0.01)</f>
        <v>4.4399999999999906</v>
      </c>
      <c r="B163" s="65" t="s">
        <v>1505</v>
      </c>
      <c r="C163" s="70" t="s">
        <v>1514</v>
      </c>
      <c r="D163" s="44"/>
      <c r="E163" s="45" t="s">
        <v>91</v>
      </c>
      <c r="F163" s="44"/>
      <c r="G163" s="45"/>
      <c r="H163" s="46" t="str">
        <f t="shared" si="52"/>
        <v/>
      </c>
      <c r="I163" s="45"/>
      <c r="J163" s="46" t="str">
        <f t="shared" si="53"/>
        <v/>
      </c>
      <c r="K163" s="45"/>
      <c r="L163" s="46" t="str">
        <f t="shared" si="54"/>
        <v/>
      </c>
      <c r="M163" s="45"/>
      <c r="N163" s="46" t="str">
        <f t="shared" si="55"/>
        <v/>
      </c>
      <c r="O163" s="44"/>
      <c r="P163" s="45"/>
      <c r="Q163" s="46" t="str">
        <f t="shared" si="56"/>
        <v/>
      </c>
      <c r="R163" s="53" t="str">
        <f t="shared" si="57"/>
        <v>Wahl treffen</v>
      </c>
      <c r="S163" s="43"/>
      <c r="T163" s="43"/>
      <c r="U163" s="43"/>
      <c r="W163" s="37">
        <v>0</v>
      </c>
      <c r="X163" s="37">
        <v>0</v>
      </c>
      <c r="Y163" s="37">
        <v>0</v>
      </c>
      <c r="Z163" s="37">
        <v>0</v>
      </c>
      <c r="AA163" s="37">
        <v>0</v>
      </c>
      <c r="AB163" s="38">
        <v>0</v>
      </c>
      <c r="AC163" s="38">
        <v>0</v>
      </c>
      <c r="AD163" s="38">
        <v>0</v>
      </c>
      <c r="AE163" s="38">
        <v>0</v>
      </c>
      <c r="AF163" s="38">
        <v>0</v>
      </c>
      <c r="AG163" s="36">
        <f t="shared" si="59"/>
        <v>0</v>
      </c>
      <c r="AI163" s="56"/>
      <c r="AJ163" s="56"/>
      <c r="AK163" s="56"/>
      <c r="AL163" s="56"/>
      <c r="AM163" s="79">
        <f t="shared" si="10"/>
        <v>0</v>
      </c>
      <c r="AN163" s="79">
        <f t="shared" si="11"/>
        <v>0</v>
      </c>
      <c r="AO163" s="79">
        <f t="shared" si="12"/>
        <v>0</v>
      </c>
      <c r="AP163" s="79">
        <f t="shared" si="13"/>
        <v>0</v>
      </c>
      <c r="AQ163" s="79">
        <f t="shared" si="12"/>
        <v>0</v>
      </c>
      <c r="AR163" s="79">
        <f t="shared" si="13"/>
        <v>0</v>
      </c>
      <c r="AS163" s="79">
        <f t="shared" si="14"/>
        <v>0</v>
      </c>
      <c r="AT163" s="79">
        <f t="shared" si="15"/>
        <v>0</v>
      </c>
      <c r="AU163" s="79">
        <f t="shared" si="16"/>
        <v>0</v>
      </c>
      <c r="AV163" s="79">
        <f t="shared" si="17"/>
        <v>0</v>
      </c>
      <c r="AW163" s="79">
        <f t="shared" si="18"/>
        <v>0</v>
      </c>
      <c r="AX163" s="79">
        <f t="shared" si="19"/>
        <v>0</v>
      </c>
      <c r="AY163" s="79">
        <f t="shared" si="20"/>
        <v>0</v>
      </c>
      <c r="AZ163" s="79">
        <f t="shared" si="21"/>
        <v>0</v>
      </c>
      <c r="BA163" s="79">
        <f t="shared" si="22"/>
        <v>0</v>
      </c>
      <c r="BB163" s="79">
        <f t="shared" si="23"/>
        <v>0</v>
      </c>
      <c r="BC163" s="79">
        <f t="shared" si="22"/>
        <v>0</v>
      </c>
      <c r="BD163" s="79">
        <f t="shared" si="23"/>
        <v>0</v>
      </c>
      <c r="BE163" s="79">
        <f t="shared" si="24"/>
        <v>0</v>
      </c>
      <c r="BF163" s="79">
        <f t="shared" si="25"/>
        <v>0</v>
      </c>
      <c r="BG163" s="79">
        <f t="shared" si="26"/>
        <v>0</v>
      </c>
      <c r="BH163" s="79">
        <f t="shared" si="27"/>
        <v>0</v>
      </c>
      <c r="BI163" s="79">
        <f t="shared" si="28"/>
        <v>0</v>
      </c>
      <c r="BJ163" s="79">
        <f t="shared" si="29"/>
        <v>0</v>
      </c>
      <c r="BK163" s="56"/>
      <c r="BL163" s="56"/>
    </row>
    <row r="164" spans="1:64" ht="55.2" x14ac:dyDescent="0.3">
      <c r="A164" s="12">
        <f>IF(ISBLANK($C164),"",MAX($A$95:$A163)+0.01)</f>
        <v>4.4499999999999904</v>
      </c>
      <c r="B164" s="69" t="s">
        <v>1445</v>
      </c>
      <c r="C164" s="70" t="s">
        <v>1515</v>
      </c>
      <c r="D164" s="44"/>
      <c r="E164" s="45" t="s">
        <v>91</v>
      </c>
      <c r="F164" s="44"/>
      <c r="G164" s="45"/>
      <c r="H164" s="46" t="str">
        <f t="shared" si="52"/>
        <v/>
      </c>
      <c r="I164" s="45"/>
      <c r="J164" s="46" t="str">
        <f t="shared" si="53"/>
        <v/>
      </c>
      <c r="K164" s="45"/>
      <c r="L164" s="46" t="str">
        <f t="shared" si="54"/>
        <v/>
      </c>
      <c r="M164" s="45"/>
      <c r="N164" s="46" t="str">
        <f t="shared" si="55"/>
        <v/>
      </c>
      <c r="O164" s="44"/>
      <c r="P164" s="45"/>
      <c r="Q164" s="46" t="str">
        <f t="shared" si="56"/>
        <v/>
      </c>
      <c r="R164" s="53" t="str">
        <f t="shared" si="57"/>
        <v/>
      </c>
      <c r="S164" s="43"/>
      <c r="T164" s="43"/>
      <c r="U164" s="43"/>
      <c r="W164" s="37">
        <v>0</v>
      </c>
      <c r="X164" s="37">
        <v>0</v>
      </c>
      <c r="Y164" s="37">
        <v>0</v>
      </c>
      <c r="Z164" s="37">
        <v>0</v>
      </c>
      <c r="AA164" s="37">
        <v>0</v>
      </c>
      <c r="AB164" s="38">
        <v>0</v>
      </c>
      <c r="AC164" s="38">
        <v>0</v>
      </c>
      <c r="AD164" s="38">
        <v>0</v>
      </c>
      <c r="AE164" s="38">
        <v>0</v>
      </c>
      <c r="AF164" s="38">
        <v>0</v>
      </c>
      <c r="AG164" s="36">
        <f t="shared" si="59"/>
        <v>0</v>
      </c>
      <c r="AI164" s="56"/>
      <c r="AJ164" s="56"/>
      <c r="AK164" s="56"/>
      <c r="AL164" s="56"/>
      <c r="AM164" s="79">
        <f t="shared" si="10"/>
        <v>0</v>
      </c>
      <c r="AN164" s="79">
        <f t="shared" si="11"/>
        <v>0</v>
      </c>
      <c r="AO164" s="79">
        <f t="shared" si="12"/>
        <v>0</v>
      </c>
      <c r="AP164" s="79">
        <f t="shared" si="13"/>
        <v>0</v>
      </c>
      <c r="AQ164" s="79">
        <f t="shared" si="12"/>
        <v>0</v>
      </c>
      <c r="AR164" s="79">
        <f t="shared" si="13"/>
        <v>0</v>
      </c>
      <c r="AS164" s="79">
        <f t="shared" si="14"/>
        <v>0</v>
      </c>
      <c r="AT164" s="79">
        <f t="shared" si="15"/>
        <v>0</v>
      </c>
      <c r="AU164" s="79">
        <f t="shared" si="16"/>
        <v>0</v>
      </c>
      <c r="AV164" s="79">
        <f t="shared" si="17"/>
        <v>0</v>
      </c>
      <c r="AW164" s="79">
        <f t="shared" si="18"/>
        <v>0</v>
      </c>
      <c r="AX164" s="79">
        <f t="shared" si="19"/>
        <v>0</v>
      </c>
      <c r="AY164" s="79">
        <f t="shared" si="20"/>
        <v>0</v>
      </c>
      <c r="AZ164" s="79">
        <f t="shared" si="21"/>
        <v>0</v>
      </c>
      <c r="BA164" s="79">
        <f t="shared" si="22"/>
        <v>0</v>
      </c>
      <c r="BB164" s="79">
        <f t="shared" si="23"/>
        <v>0</v>
      </c>
      <c r="BC164" s="79">
        <f t="shared" si="22"/>
        <v>0</v>
      </c>
      <c r="BD164" s="79">
        <f t="shared" si="23"/>
        <v>0</v>
      </c>
      <c r="BE164" s="79">
        <f t="shared" si="24"/>
        <v>0</v>
      </c>
      <c r="BF164" s="79">
        <f t="shared" si="25"/>
        <v>0</v>
      </c>
      <c r="BG164" s="79">
        <f t="shared" si="26"/>
        <v>0</v>
      </c>
      <c r="BH164" s="79">
        <f t="shared" si="27"/>
        <v>0</v>
      </c>
      <c r="BI164" s="79">
        <f t="shared" si="28"/>
        <v>0</v>
      </c>
      <c r="BJ164" s="79">
        <f t="shared" si="29"/>
        <v>0</v>
      </c>
      <c r="BK164" s="56"/>
      <c r="BL164" s="56"/>
    </row>
    <row r="165" spans="1:64" x14ac:dyDescent="0.3">
      <c r="A165" s="12" t="str">
        <f>IF(ISBLANK($C165),"",MAX($A$95:$A164)+0.01)</f>
        <v/>
      </c>
      <c r="B165" s="51"/>
      <c r="C165" s="44"/>
      <c r="D165" s="44"/>
      <c r="E165" s="45"/>
      <c r="F165" s="44"/>
      <c r="G165" s="45"/>
      <c r="H165" s="46" t="str">
        <f t="shared" si="52"/>
        <v/>
      </c>
      <c r="I165" s="45"/>
      <c r="J165" s="46" t="str">
        <f t="shared" si="53"/>
        <v/>
      </c>
      <c r="K165" s="45"/>
      <c r="L165" s="46" t="str">
        <f t="shared" si="54"/>
        <v/>
      </c>
      <c r="M165" s="45"/>
      <c r="N165" s="46" t="str">
        <f t="shared" si="55"/>
        <v/>
      </c>
      <c r="O165" s="44"/>
      <c r="P165" s="45"/>
      <c r="Q165" s="46" t="str">
        <f t="shared" si="56"/>
        <v/>
      </c>
      <c r="R165" s="53" t="str">
        <f t="shared" si="57"/>
        <v/>
      </c>
      <c r="S165" s="43"/>
      <c r="T165" s="43"/>
      <c r="U165" s="43"/>
      <c r="W165" s="37">
        <v>0</v>
      </c>
      <c r="X165" s="37">
        <v>0</v>
      </c>
      <c r="Y165" s="37">
        <v>0</v>
      </c>
      <c r="Z165" s="37">
        <v>0</v>
      </c>
      <c r="AA165" s="37">
        <v>0</v>
      </c>
      <c r="AB165" s="38">
        <v>0</v>
      </c>
      <c r="AC165" s="38">
        <v>0</v>
      </c>
      <c r="AD165" s="38">
        <v>0</v>
      </c>
      <c r="AE165" s="38">
        <v>0</v>
      </c>
      <c r="AF165" s="38">
        <v>0</v>
      </c>
      <c r="AG165" s="36">
        <f t="shared" si="59"/>
        <v>0</v>
      </c>
      <c r="AI165" s="56"/>
      <c r="AJ165" s="56"/>
      <c r="AK165" s="56"/>
      <c r="AL165" s="56"/>
      <c r="AM165" s="79">
        <f t="shared" si="10"/>
        <v>0</v>
      </c>
      <c r="AN165" s="79">
        <f t="shared" si="11"/>
        <v>0</v>
      </c>
      <c r="AO165" s="79">
        <f t="shared" si="12"/>
        <v>0</v>
      </c>
      <c r="AP165" s="79">
        <f t="shared" si="13"/>
        <v>0</v>
      </c>
      <c r="AQ165" s="79">
        <f t="shared" si="12"/>
        <v>0</v>
      </c>
      <c r="AR165" s="79">
        <f t="shared" si="13"/>
        <v>0</v>
      </c>
      <c r="AS165" s="79">
        <f t="shared" si="14"/>
        <v>0</v>
      </c>
      <c r="AT165" s="79">
        <f t="shared" si="15"/>
        <v>0</v>
      </c>
      <c r="AU165" s="79">
        <f t="shared" si="16"/>
        <v>0</v>
      </c>
      <c r="AV165" s="79">
        <f t="shared" si="17"/>
        <v>0</v>
      </c>
      <c r="AW165" s="79">
        <f t="shared" si="18"/>
        <v>0</v>
      </c>
      <c r="AX165" s="79">
        <f t="shared" si="19"/>
        <v>0</v>
      </c>
      <c r="AY165" s="79">
        <f t="shared" si="20"/>
        <v>0</v>
      </c>
      <c r="AZ165" s="79">
        <f t="shared" si="21"/>
        <v>0</v>
      </c>
      <c r="BA165" s="79">
        <f t="shared" si="22"/>
        <v>0</v>
      </c>
      <c r="BB165" s="79">
        <f t="shared" si="23"/>
        <v>0</v>
      </c>
      <c r="BC165" s="79">
        <f t="shared" si="22"/>
        <v>0</v>
      </c>
      <c r="BD165" s="79">
        <f t="shared" si="23"/>
        <v>0</v>
      </c>
      <c r="BE165" s="79">
        <f t="shared" si="24"/>
        <v>0</v>
      </c>
      <c r="BF165" s="79">
        <f t="shared" si="25"/>
        <v>0</v>
      </c>
      <c r="BG165" s="79">
        <f t="shared" si="26"/>
        <v>0</v>
      </c>
      <c r="BH165" s="79">
        <f t="shared" si="27"/>
        <v>0</v>
      </c>
      <c r="BI165" s="79">
        <f t="shared" si="28"/>
        <v>0</v>
      </c>
      <c r="BJ165" s="79">
        <f t="shared" si="29"/>
        <v>0</v>
      </c>
      <c r="BK165" s="56"/>
      <c r="BL165" s="56"/>
    </row>
    <row r="166" spans="1:64" x14ac:dyDescent="0.3">
      <c r="A166" s="12" t="str">
        <f>IF(ISBLANK($C166),"",MAX($A$95:$A165)+0.01)</f>
        <v/>
      </c>
      <c r="B166" s="51"/>
      <c r="C166" s="48"/>
      <c r="D166" s="44"/>
      <c r="E166" s="45"/>
      <c r="F166" s="44"/>
      <c r="G166" s="45"/>
      <c r="H166" s="46" t="str">
        <f t="shared" si="52"/>
        <v/>
      </c>
      <c r="I166" s="45"/>
      <c r="J166" s="46" t="str">
        <f t="shared" si="53"/>
        <v/>
      </c>
      <c r="K166" s="45"/>
      <c r="L166" s="46" t="str">
        <f t="shared" si="54"/>
        <v/>
      </c>
      <c r="M166" s="45"/>
      <c r="N166" s="46" t="str">
        <f t="shared" si="55"/>
        <v/>
      </c>
      <c r="O166" s="44"/>
      <c r="P166" s="45"/>
      <c r="Q166" s="46" t="str">
        <f t="shared" si="56"/>
        <v/>
      </c>
      <c r="R166" s="53" t="str">
        <f t="shared" si="57"/>
        <v/>
      </c>
      <c r="S166" s="43"/>
      <c r="T166" s="43"/>
      <c r="U166" s="43"/>
      <c r="W166" s="37">
        <v>0</v>
      </c>
      <c r="X166" s="37">
        <v>0</v>
      </c>
      <c r="Y166" s="37">
        <v>0</v>
      </c>
      <c r="Z166" s="37">
        <v>0</v>
      </c>
      <c r="AA166" s="37">
        <v>0</v>
      </c>
      <c r="AB166" s="38">
        <v>0</v>
      </c>
      <c r="AC166" s="38">
        <v>0</v>
      </c>
      <c r="AD166" s="38">
        <v>0</v>
      </c>
      <c r="AE166" s="38">
        <v>0</v>
      </c>
      <c r="AF166" s="38">
        <v>0</v>
      </c>
      <c r="AG166" s="36">
        <f t="shared" si="59"/>
        <v>0</v>
      </c>
      <c r="AI166" s="56"/>
      <c r="AJ166" s="56"/>
      <c r="AK166" s="56"/>
      <c r="AL166" s="56"/>
      <c r="AM166" s="79">
        <f t="shared" si="10"/>
        <v>0</v>
      </c>
      <c r="AN166" s="79">
        <f t="shared" si="11"/>
        <v>0</v>
      </c>
      <c r="AO166" s="79">
        <f t="shared" si="12"/>
        <v>0</v>
      </c>
      <c r="AP166" s="79">
        <f t="shared" si="13"/>
        <v>0</v>
      </c>
      <c r="AQ166" s="79">
        <f t="shared" si="12"/>
        <v>0</v>
      </c>
      <c r="AR166" s="79">
        <f t="shared" si="13"/>
        <v>0</v>
      </c>
      <c r="AS166" s="79">
        <f t="shared" si="14"/>
        <v>0</v>
      </c>
      <c r="AT166" s="79">
        <f t="shared" si="15"/>
        <v>0</v>
      </c>
      <c r="AU166" s="79">
        <f t="shared" si="16"/>
        <v>0</v>
      </c>
      <c r="AV166" s="79">
        <f t="shared" si="17"/>
        <v>0</v>
      </c>
      <c r="AW166" s="79">
        <f t="shared" si="18"/>
        <v>0</v>
      </c>
      <c r="AX166" s="79">
        <f t="shared" si="19"/>
        <v>0</v>
      </c>
      <c r="AY166" s="79">
        <f t="shared" si="20"/>
        <v>0</v>
      </c>
      <c r="AZ166" s="79">
        <f t="shared" si="21"/>
        <v>0</v>
      </c>
      <c r="BA166" s="79">
        <f t="shared" si="22"/>
        <v>0</v>
      </c>
      <c r="BB166" s="79">
        <f t="shared" si="23"/>
        <v>0</v>
      </c>
      <c r="BC166" s="79">
        <f t="shared" si="22"/>
        <v>0</v>
      </c>
      <c r="BD166" s="79">
        <f t="shared" si="23"/>
        <v>0</v>
      </c>
      <c r="BE166" s="79">
        <f t="shared" si="24"/>
        <v>0</v>
      </c>
      <c r="BF166" s="79">
        <f t="shared" si="25"/>
        <v>0</v>
      </c>
      <c r="BG166" s="79">
        <f t="shared" si="26"/>
        <v>0</v>
      </c>
      <c r="BH166" s="79">
        <f t="shared" si="27"/>
        <v>0</v>
      </c>
      <c r="BI166" s="79">
        <f t="shared" si="28"/>
        <v>0</v>
      </c>
      <c r="BJ166" s="79">
        <f t="shared" si="29"/>
        <v>0</v>
      </c>
      <c r="BK166" s="56"/>
      <c r="BL166" s="56"/>
    </row>
    <row r="167" spans="1:64" x14ac:dyDescent="0.3">
      <c r="A167" s="12" t="str">
        <f>IF(ISBLANK($C167),"",MAX($A$95:$A166)+0.01)</f>
        <v/>
      </c>
      <c r="B167" s="52"/>
      <c r="C167" s="48"/>
      <c r="D167" s="48"/>
      <c r="E167" s="45"/>
      <c r="F167" s="44"/>
      <c r="G167" s="45"/>
      <c r="H167" s="46" t="str">
        <f t="shared" si="52"/>
        <v/>
      </c>
      <c r="I167" s="45"/>
      <c r="J167" s="46" t="str">
        <f t="shared" si="53"/>
        <v/>
      </c>
      <c r="K167" s="45"/>
      <c r="L167" s="46" t="str">
        <f t="shared" si="54"/>
        <v/>
      </c>
      <c r="M167" s="45"/>
      <c r="N167" s="46" t="str">
        <f t="shared" si="55"/>
        <v/>
      </c>
      <c r="O167" s="44"/>
      <c r="P167" s="45"/>
      <c r="Q167" s="46" t="str">
        <f t="shared" si="56"/>
        <v/>
      </c>
      <c r="R167" s="53" t="str">
        <f t="shared" si="57"/>
        <v/>
      </c>
      <c r="S167" s="43"/>
      <c r="T167" s="43"/>
      <c r="U167" s="43"/>
      <c r="W167" s="37">
        <v>0</v>
      </c>
      <c r="X167" s="37">
        <v>0</v>
      </c>
      <c r="Y167" s="37">
        <v>0</v>
      </c>
      <c r="Z167" s="37">
        <v>0</v>
      </c>
      <c r="AA167" s="37">
        <v>0</v>
      </c>
      <c r="AB167" s="38">
        <v>0</v>
      </c>
      <c r="AC167" s="38">
        <v>0</v>
      </c>
      <c r="AD167" s="38">
        <v>0</v>
      </c>
      <c r="AE167" s="38">
        <v>0</v>
      </c>
      <c r="AF167" s="38">
        <v>0</v>
      </c>
      <c r="AG167" s="36">
        <f t="shared" si="59"/>
        <v>0</v>
      </c>
      <c r="AI167" s="56"/>
      <c r="AJ167" s="56"/>
      <c r="AK167" s="56"/>
      <c r="AL167" s="56"/>
      <c r="AM167" s="79">
        <f t="shared" si="10"/>
        <v>0</v>
      </c>
      <c r="AN167" s="79">
        <f t="shared" si="11"/>
        <v>0</v>
      </c>
      <c r="AO167" s="79">
        <f t="shared" si="12"/>
        <v>0</v>
      </c>
      <c r="AP167" s="79">
        <f t="shared" si="13"/>
        <v>0</v>
      </c>
      <c r="AQ167" s="79">
        <f t="shared" si="12"/>
        <v>0</v>
      </c>
      <c r="AR167" s="79">
        <f t="shared" si="13"/>
        <v>0</v>
      </c>
      <c r="AS167" s="79">
        <f t="shared" si="14"/>
        <v>0</v>
      </c>
      <c r="AT167" s="79">
        <f t="shared" si="15"/>
        <v>0</v>
      </c>
      <c r="AU167" s="79">
        <f t="shared" si="16"/>
        <v>0</v>
      </c>
      <c r="AV167" s="79">
        <f t="shared" si="17"/>
        <v>0</v>
      </c>
      <c r="AW167" s="79">
        <f t="shared" si="18"/>
        <v>0</v>
      </c>
      <c r="AX167" s="79">
        <f t="shared" si="19"/>
        <v>0</v>
      </c>
      <c r="AY167" s="79">
        <f t="shared" si="20"/>
        <v>0</v>
      </c>
      <c r="AZ167" s="79">
        <f t="shared" si="21"/>
        <v>0</v>
      </c>
      <c r="BA167" s="79">
        <f t="shared" si="22"/>
        <v>0</v>
      </c>
      <c r="BB167" s="79">
        <f t="shared" si="23"/>
        <v>0</v>
      </c>
      <c r="BC167" s="79">
        <f t="shared" si="22"/>
        <v>0</v>
      </c>
      <c r="BD167" s="79">
        <f t="shared" si="23"/>
        <v>0</v>
      </c>
      <c r="BE167" s="79">
        <f t="shared" si="24"/>
        <v>0</v>
      </c>
      <c r="BF167" s="79">
        <f t="shared" si="25"/>
        <v>0</v>
      </c>
      <c r="BG167" s="79">
        <f t="shared" si="26"/>
        <v>0</v>
      </c>
      <c r="BH167" s="79">
        <f t="shared" si="27"/>
        <v>0</v>
      </c>
      <c r="BI167" s="79">
        <f t="shared" si="28"/>
        <v>0</v>
      </c>
      <c r="BJ167" s="79">
        <f t="shared" si="29"/>
        <v>0</v>
      </c>
      <c r="BK167" s="56"/>
      <c r="BL167" s="56"/>
    </row>
    <row r="168" spans="1:64" x14ac:dyDescent="0.3">
      <c r="A168" s="12" t="str">
        <f>IF(ISBLANK($C168),"",MAX($A$95:$A167)+0.01)</f>
        <v/>
      </c>
      <c r="B168" s="52"/>
      <c r="C168" s="48"/>
      <c r="D168" s="48"/>
      <c r="E168" s="45"/>
      <c r="F168" s="44"/>
      <c r="G168" s="45"/>
      <c r="H168" s="46" t="str">
        <f t="shared" si="52"/>
        <v/>
      </c>
      <c r="I168" s="45"/>
      <c r="J168" s="46" t="str">
        <f t="shared" si="53"/>
        <v/>
      </c>
      <c r="K168" s="45"/>
      <c r="L168" s="46" t="str">
        <f t="shared" si="54"/>
        <v/>
      </c>
      <c r="M168" s="45"/>
      <c r="N168" s="46" t="str">
        <f t="shared" si="55"/>
        <v/>
      </c>
      <c r="O168" s="44"/>
      <c r="P168" s="45"/>
      <c r="Q168" s="46" t="str">
        <f t="shared" si="56"/>
        <v/>
      </c>
      <c r="R168" s="53" t="str">
        <f t="shared" si="57"/>
        <v/>
      </c>
      <c r="S168" s="43"/>
      <c r="T168" s="43"/>
      <c r="U168" s="43"/>
      <c r="W168" s="37">
        <v>0</v>
      </c>
      <c r="X168" s="37">
        <v>0</v>
      </c>
      <c r="Y168" s="37">
        <v>0</v>
      </c>
      <c r="Z168" s="37">
        <v>0</v>
      </c>
      <c r="AA168" s="37">
        <v>0</v>
      </c>
      <c r="AB168" s="38">
        <v>0</v>
      </c>
      <c r="AC168" s="38">
        <v>0</v>
      </c>
      <c r="AD168" s="38">
        <v>0</v>
      </c>
      <c r="AE168" s="38">
        <v>0</v>
      </c>
      <c r="AF168" s="38">
        <v>0</v>
      </c>
      <c r="AG168" s="36">
        <f t="shared" si="59"/>
        <v>0</v>
      </c>
      <c r="AI168" s="56"/>
      <c r="AJ168" s="56"/>
      <c r="AK168" s="56"/>
      <c r="AL168" s="56"/>
      <c r="AM168" s="79">
        <f t="shared" si="10"/>
        <v>0</v>
      </c>
      <c r="AN168" s="79">
        <f t="shared" si="11"/>
        <v>0</v>
      </c>
      <c r="AO168" s="79">
        <f t="shared" si="12"/>
        <v>0</v>
      </c>
      <c r="AP168" s="79">
        <f t="shared" si="13"/>
        <v>0</v>
      </c>
      <c r="AQ168" s="79">
        <f t="shared" si="12"/>
        <v>0</v>
      </c>
      <c r="AR168" s="79">
        <f t="shared" si="13"/>
        <v>0</v>
      </c>
      <c r="AS168" s="79">
        <f t="shared" si="14"/>
        <v>0</v>
      </c>
      <c r="AT168" s="79">
        <f t="shared" si="15"/>
        <v>0</v>
      </c>
      <c r="AU168" s="79">
        <f t="shared" si="16"/>
        <v>0</v>
      </c>
      <c r="AV168" s="79">
        <f t="shared" si="17"/>
        <v>0</v>
      </c>
      <c r="AW168" s="79">
        <f t="shared" si="18"/>
        <v>0</v>
      </c>
      <c r="AX168" s="79">
        <f t="shared" si="19"/>
        <v>0</v>
      </c>
      <c r="AY168" s="79">
        <f t="shared" si="20"/>
        <v>0</v>
      </c>
      <c r="AZ168" s="79">
        <f t="shared" si="21"/>
        <v>0</v>
      </c>
      <c r="BA168" s="79">
        <f t="shared" si="22"/>
        <v>0</v>
      </c>
      <c r="BB168" s="79">
        <f t="shared" si="23"/>
        <v>0</v>
      </c>
      <c r="BC168" s="79">
        <f t="shared" si="22"/>
        <v>0</v>
      </c>
      <c r="BD168" s="79">
        <f t="shared" si="23"/>
        <v>0</v>
      </c>
      <c r="BE168" s="79">
        <f t="shared" si="24"/>
        <v>0</v>
      </c>
      <c r="BF168" s="79">
        <f t="shared" si="25"/>
        <v>0</v>
      </c>
      <c r="BG168" s="79">
        <f t="shared" si="26"/>
        <v>0</v>
      </c>
      <c r="BH168" s="79">
        <f t="shared" si="27"/>
        <v>0</v>
      </c>
      <c r="BI168" s="79">
        <f t="shared" si="28"/>
        <v>0</v>
      </c>
      <c r="BJ168" s="79">
        <f t="shared" si="29"/>
        <v>0</v>
      </c>
      <c r="BK168" s="56"/>
      <c r="BL168" s="56"/>
    </row>
    <row r="169" spans="1:64" ht="24" customHeight="1" x14ac:dyDescent="0.3">
      <c r="A169" s="20"/>
      <c r="B169" s="234" t="s">
        <v>1516</v>
      </c>
      <c r="C169" s="234"/>
      <c r="D169" s="234"/>
      <c r="E169" s="234"/>
      <c r="F169" s="234"/>
      <c r="G169" s="234"/>
      <c r="H169" s="234"/>
      <c r="I169" s="234"/>
      <c r="J169" s="234"/>
      <c r="K169" s="234"/>
      <c r="L169" s="234"/>
      <c r="M169" s="234"/>
      <c r="N169" s="234"/>
      <c r="O169" s="234"/>
      <c r="P169" s="234"/>
      <c r="Q169" s="234"/>
      <c r="R169" s="234"/>
      <c r="S169" s="234"/>
      <c r="T169" s="234"/>
      <c r="U169" s="234"/>
      <c r="AI169" s="56"/>
      <c r="AJ169" s="56"/>
      <c r="AK169" s="56"/>
      <c r="AL169" s="56"/>
      <c r="AM169" s="79">
        <f t="shared" si="10"/>
        <v>0</v>
      </c>
      <c r="AN169" s="79">
        <f t="shared" si="11"/>
        <v>0</v>
      </c>
      <c r="AO169" s="79">
        <f t="shared" si="12"/>
        <v>0</v>
      </c>
      <c r="AP169" s="79">
        <f t="shared" si="13"/>
        <v>0</v>
      </c>
      <c r="AQ169" s="79">
        <f t="shared" si="12"/>
        <v>0</v>
      </c>
      <c r="AR169" s="79">
        <f t="shared" si="13"/>
        <v>0</v>
      </c>
      <c r="AS169" s="79">
        <f t="shared" si="14"/>
        <v>0</v>
      </c>
      <c r="AT169" s="79">
        <f t="shared" si="15"/>
        <v>0</v>
      </c>
      <c r="AU169" s="79">
        <f t="shared" si="16"/>
        <v>0</v>
      </c>
      <c r="AV169" s="79">
        <f t="shared" si="17"/>
        <v>0</v>
      </c>
      <c r="AW169" s="79">
        <f t="shared" si="18"/>
        <v>0</v>
      </c>
      <c r="AX169" s="79">
        <f t="shared" si="19"/>
        <v>0</v>
      </c>
      <c r="AY169" s="79">
        <f t="shared" si="20"/>
        <v>0</v>
      </c>
      <c r="AZ169" s="79">
        <f t="shared" si="21"/>
        <v>0</v>
      </c>
      <c r="BA169" s="79">
        <f t="shared" si="22"/>
        <v>0</v>
      </c>
      <c r="BB169" s="79">
        <f t="shared" si="23"/>
        <v>0</v>
      </c>
      <c r="BC169" s="79">
        <f t="shared" si="22"/>
        <v>0</v>
      </c>
      <c r="BD169" s="79">
        <f t="shared" si="23"/>
        <v>0</v>
      </c>
      <c r="BE169" s="79">
        <f t="shared" si="24"/>
        <v>0</v>
      </c>
      <c r="BF169" s="79">
        <f t="shared" si="25"/>
        <v>0</v>
      </c>
      <c r="BG169" s="79">
        <f t="shared" si="26"/>
        <v>0</v>
      </c>
      <c r="BH169" s="79">
        <f t="shared" si="27"/>
        <v>0</v>
      </c>
      <c r="BI169" s="79">
        <f t="shared" si="28"/>
        <v>0</v>
      </c>
      <c r="BJ169" s="79">
        <f t="shared" si="29"/>
        <v>0</v>
      </c>
      <c r="BK169" s="56"/>
      <c r="BL169" s="56"/>
    </row>
    <row r="170" spans="1:64" ht="96.6" x14ac:dyDescent="0.3">
      <c r="A170" s="12">
        <f>IF(ISBLANK($C170),"",MAX($A$95:$A169)+0.01)</f>
        <v>4.4599999999999902</v>
      </c>
      <c r="B170" s="65" t="s">
        <v>1517</v>
      </c>
      <c r="C170" s="66" t="s">
        <v>1519</v>
      </c>
      <c r="D170" s="44"/>
      <c r="E170" s="45" t="s">
        <v>91</v>
      </c>
      <c r="F170" s="44"/>
      <c r="G170" s="45"/>
      <c r="H170" s="46" t="str">
        <f t="shared" ref="H170:H194" si="60">IFERROR(VLOOKUP($E170,$D$199:$E$203,2,FALSE)*VLOOKUP($G170,$D$206:$E$210,2,FALSE),"")</f>
        <v/>
      </c>
      <c r="I170" s="45"/>
      <c r="J170" s="46" t="str">
        <f t="shared" ref="J170:J194" si="61">IFERROR(VLOOKUP($E170,$D$199:$E$203,2,FALSE)*VLOOKUP($I170,$D$213:$E$217,2,FALSE),"")</f>
        <v/>
      </c>
      <c r="K170" s="45"/>
      <c r="L170" s="46" t="str">
        <f t="shared" ref="L170:L194" si="62">IFERROR(VLOOKUP($E170,$D$199:$E$203,2,FALSE)*VLOOKUP($K170,$D$220:$E$224,2,FALSE),"")</f>
        <v/>
      </c>
      <c r="M170" s="45"/>
      <c r="N170" s="46" t="str">
        <f t="shared" ref="N170:N194" si="63">IFERROR(VLOOKUP($E170,$D$199:$E$203,2,FALSE)*VLOOKUP($M170,$D$227:$E$231,2,FALSE),"")</f>
        <v/>
      </c>
      <c r="O170" s="44"/>
      <c r="P170" s="45"/>
      <c r="Q170" s="50" t="str">
        <f t="shared" ref="Q170:Q194" si="64">IFERROR(VLOOKUP($E170,$D$199:$E$203,2,FALSE)*VLOOKUP($P170,$D$234:$E$238,2,FALSE),"")</f>
        <v/>
      </c>
      <c r="R170" s="53" t="str">
        <f t="shared" ref="R170:R194" si="65">IF(LEFT($D$16,2)="Ja",IF(IFERROR(FIND("DS",$B170),0)&gt;0,IF(_xlfn.NUMBERVALUE($Q170)&gt;=$N$235,"Hoch",IF(_xlfn.NUMBERVALUE($Q170)&gt;=$N$234,"Mittel",IF(_xlfn.NUMBERVALUE($Q170)&gt;0,"Tief",IF($P170="N/A","","Wahl treffen")))),""),"")</f>
        <v>Wahl treffen</v>
      </c>
      <c r="S170" s="43"/>
      <c r="T170" s="43"/>
      <c r="U170" s="43"/>
      <c r="W170" s="37">
        <v>0</v>
      </c>
      <c r="X170" s="37">
        <v>0</v>
      </c>
      <c r="Y170" s="37">
        <v>0</v>
      </c>
      <c r="Z170" s="37">
        <v>0</v>
      </c>
      <c r="AA170" s="37">
        <v>0</v>
      </c>
      <c r="AB170" s="38">
        <v>0</v>
      </c>
      <c r="AC170" s="38">
        <v>0</v>
      </c>
      <c r="AD170" s="38">
        <v>0</v>
      </c>
      <c r="AE170" s="38">
        <v>0</v>
      </c>
      <c r="AF170" s="38">
        <v>0</v>
      </c>
      <c r="AG170" s="36">
        <f t="shared" ref="AG170:AG175" si="66">IF($AG$100=5,SUM(AB170:AF170),IF($AG$100=4,SUM(AB170:AE170),IF($AG$100=3,SUM(AB170:AD170),IF($AG$100=2,SUM(AB170:AC170),AB170))))/$AG$100</f>
        <v>0</v>
      </c>
      <c r="AI170" s="56"/>
      <c r="AJ170" s="56"/>
      <c r="AK170" s="56"/>
      <c r="AL170" s="56"/>
      <c r="AM170" s="79">
        <f t="shared" si="10"/>
        <v>0</v>
      </c>
      <c r="AN170" s="79">
        <f t="shared" si="11"/>
        <v>0</v>
      </c>
      <c r="AO170" s="79">
        <f t="shared" si="12"/>
        <v>0</v>
      </c>
      <c r="AP170" s="79">
        <f t="shared" si="13"/>
        <v>0</v>
      </c>
      <c r="AQ170" s="79">
        <f t="shared" si="12"/>
        <v>0</v>
      </c>
      <c r="AR170" s="79">
        <f t="shared" si="13"/>
        <v>0</v>
      </c>
      <c r="AS170" s="79">
        <f t="shared" si="14"/>
        <v>0</v>
      </c>
      <c r="AT170" s="79">
        <f t="shared" si="15"/>
        <v>0</v>
      </c>
      <c r="AU170" s="79">
        <f t="shared" si="16"/>
        <v>0</v>
      </c>
      <c r="AV170" s="79">
        <f t="shared" si="17"/>
        <v>0</v>
      </c>
      <c r="AW170" s="79">
        <f t="shared" si="18"/>
        <v>0</v>
      </c>
      <c r="AX170" s="79">
        <f t="shared" si="19"/>
        <v>0</v>
      </c>
      <c r="AY170" s="79">
        <f t="shared" si="20"/>
        <v>0</v>
      </c>
      <c r="AZ170" s="79">
        <f t="shared" si="21"/>
        <v>0</v>
      </c>
      <c r="BA170" s="79">
        <f t="shared" si="22"/>
        <v>0</v>
      </c>
      <c r="BB170" s="79">
        <f t="shared" si="23"/>
        <v>0</v>
      </c>
      <c r="BC170" s="79">
        <f t="shared" si="22"/>
        <v>0</v>
      </c>
      <c r="BD170" s="79">
        <f t="shared" si="23"/>
        <v>0</v>
      </c>
      <c r="BE170" s="79">
        <f t="shared" si="24"/>
        <v>0</v>
      </c>
      <c r="BF170" s="79">
        <f t="shared" si="25"/>
        <v>0</v>
      </c>
      <c r="BG170" s="79">
        <f t="shared" si="26"/>
        <v>0</v>
      </c>
      <c r="BH170" s="79">
        <f t="shared" si="27"/>
        <v>0</v>
      </c>
      <c r="BI170" s="79">
        <f t="shared" si="28"/>
        <v>0</v>
      </c>
      <c r="BJ170" s="79">
        <f t="shared" si="29"/>
        <v>0</v>
      </c>
      <c r="BK170" s="56"/>
      <c r="BL170" s="56"/>
    </row>
    <row r="171" spans="1:64" ht="82.8" x14ac:dyDescent="0.3">
      <c r="A171" s="12">
        <f>IF(ISBLANK($C171),"",MAX($A$95:$A170)+0.01)</f>
        <v>4.46999999999999</v>
      </c>
      <c r="B171" s="65" t="s">
        <v>1473</v>
      </c>
      <c r="C171" s="66" t="s">
        <v>1520</v>
      </c>
      <c r="D171" s="44"/>
      <c r="E171" s="45" t="s">
        <v>91</v>
      </c>
      <c r="F171" s="44"/>
      <c r="G171" s="45"/>
      <c r="H171" s="46" t="str">
        <f t="shared" si="60"/>
        <v/>
      </c>
      <c r="I171" s="45"/>
      <c r="J171" s="46" t="str">
        <f t="shared" si="61"/>
        <v/>
      </c>
      <c r="K171" s="45"/>
      <c r="L171" s="46" t="str">
        <f t="shared" si="62"/>
        <v/>
      </c>
      <c r="M171" s="45"/>
      <c r="N171" s="46" t="str">
        <f t="shared" si="63"/>
        <v/>
      </c>
      <c r="O171" s="44"/>
      <c r="P171" s="45"/>
      <c r="Q171" s="50" t="str">
        <f t="shared" si="64"/>
        <v/>
      </c>
      <c r="R171" s="53" t="str">
        <f t="shared" si="65"/>
        <v>Wahl treffen</v>
      </c>
      <c r="S171" s="43"/>
      <c r="T171" s="43"/>
      <c r="U171" s="43"/>
      <c r="W171" s="37">
        <v>0</v>
      </c>
      <c r="X171" s="37">
        <v>0</v>
      </c>
      <c r="Y171" s="37">
        <v>0</v>
      </c>
      <c r="Z171" s="37">
        <v>0</v>
      </c>
      <c r="AA171" s="37">
        <v>0</v>
      </c>
      <c r="AB171" s="38">
        <v>0</v>
      </c>
      <c r="AC171" s="38">
        <v>0</v>
      </c>
      <c r="AD171" s="38">
        <v>0</v>
      </c>
      <c r="AE171" s="38">
        <v>0</v>
      </c>
      <c r="AF171" s="38">
        <v>0</v>
      </c>
      <c r="AG171" s="36">
        <f t="shared" si="66"/>
        <v>0</v>
      </c>
      <c r="AI171" s="56"/>
      <c r="AJ171" s="56"/>
      <c r="AK171" s="56"/>
      <c r="AL171" s="56"/>
      <c r="AM171" s="79">
        <f t="shared" si="10"/>
        <v>0</v>
      </c>
      <c r="AN171" s="79">
        <f t="shared" si="11"/>
        <v>0</v>
      </c>
      <c r="AO171" s="79">
        <f t="shared" si="12"/>
        <v>0</v>
      </c>
      <c r="AP171" s="79">
        <f t="shared" si="13"/>
        <v>0</v>
      </c>
      <c r="AQ171" s="79">
        <f t="shared" si="12"/>
        <v>0</v>
      </c>
      <c r="AR171" s="79">
        <f t="shared" si="13"/>
        <v>0</v>
      </c>
      <c r="AS171" s="79">
        <f t="shared" si="14"/>
        <v>0</v>
      </c>
      <c r="AT171" s="79">
        <f t="shared" si="15"/>
        <v>0</v>
      </c>
      <c r="AU171" s="79">
        <f t="shared" si="16"/>
        <v>0</v>
      </c>
      <c r="AV171" s="79">
        <f t="shared" si="17"/>
        <v>0</v>
      </c>
      <c r="AW171" s="79">
        <f t="shared" si="18"/>
        <v>0</v>
      </c>
      <c r="AX171" s="79">
        <f t="shared" si="19"/>
        <v>0</v>
      </c>
      <c r="AY171" s="79">
        <f t="shared" si="20"/>
        <v>0</v>
      </c>
      <c r="AZ171" s="79">
        <f t="shared" si="21"/>
        <v>0</v>
      </c>
      <c r="BA171" s="79">
        <f t="shared" si="22"/>
        <v>0</v>
      </c>
      <c r="BB171" s="79">
        <f t="shared" si="23"/>
        <v>0</v>
      </c>
      <c r="BC171" s="79">
        <f t="shared" si="22"/>
        <v>0</v>
      </c>
      <c r="BD171" s="79">
        <f t="shared" si="23"/>
        <v>0</v>
      </c>
      <c r="BE171" s="79">
        <f t="shared" si="24"/>
        <v>0</v>
      </c>
      <c r="BF171" s="79">
        <f t="shared" si="25"/>
        <v>0</v>
      </c>
      <c r="BG171" s="79">
        <f t="shared" si="26"/>
        <v>0</v>
      </c>
      <c r="BH171" s="79">
        <f t="shared" si="27"/>
        <v>0</v>
      </c>
      <c r="BI171" s="79">
        <f t="shared" si="28"/>
        <v>0</v>
      </c>
      <c r="BJ171" s="79">
        <f t="shared" si="29"/>
        <v>0</v>
      </c>
      <c r="BK171" s="56"/>
      <c r="BL171" s="56"/>
    </row>
    <row r="172" spans="1:64" ht="69" x14ac:dyDescent="0.3">
      <c r="A172" s="12">
        <f>IF(ISBLANK($C172),"",MAX($A$95:$A171)+0.01)</f>
        <v>4.4799999999999898</v>
      </c>
      <c r="B172" s="65" t="s">
        <v>1473</v>
      </c>
      <c r="C172" s="66" t="s">
        <v>1521</v>
      </c>
      <c r="D172" s="44"/>
      <c r="E172" s="45" t="s">
        <v>91</v>
      </c>
      <c r="F172" s="44"/>
      <c r="G172" s="45"/>
      <c r="H172" s="46" t="str">
        <f t="shared" si="60"/>
        <v/>
      </c>
      <c r="I172" s="45"/>
      <c r="J172" s="46" t="str">
        <f t="shared" si="61"/>
        <v/>
      </c>
      <c r="K172" s="45"/>
      <c r="L172" s="46" t="str">
        <f t="shared" si="62"/>
        <v/>
      </c>
      <c r="M172" s="45"/>
      <c r="N172" s="46" t="str">
        <f t="shared" si="63"/>
        <v/>
      </c>
      <c r="O172" s="44"/>
      <c r="P172" s="45"/>
      <c r="Q172" s="50" t="str">
        <f t="shared" si="64"/>
        <v/>
      </c>
      <c r="R172" s="53" t="str">
        <f t="shared" si="65"/>
        <v>Wahl treffen</v>
      </c>
      <c r="S172" s="43"/>
      <c r="T172" s="43"/>
      <c r="U172" s="43"/>
      <c r="W172" s="37">
        <v>0</v>
      </c>
      <c r="X172" s="37">
        <v>0</v>
      </c>
      <c r="Y172" s="37">
        <v>0</v>
      </c>
      <c r="Z172" s="37">
        <v>0</v>
      </c>
      <c r="AA172" s="37">
        <v>0</v>
      </c>
      <c r="AB172" s="38">
        <v>0</v>
      </c>
      <c r="AC172" s="38">
        <v>0</v>
      </c>
      <c r="AD172" s="38">
        <v>0</v>
      </c>
      <c r="AE172" s="38">
        <v>0</v>
      </c>
      <c r="AF172" s="38">
        <v>0</v>
      </c>
      <c r="AG172" s="36">
        <f t="shared" si="66"/>
        <v>0</v>
      </c>
      <c r="AI172" s="56"/>
      <c r="AJ172" s="56"/>
      <c r="AK172" s="56"/>
      <c r="AL172" s="56"/>
      <c r="AM172" s="79">
        <f t="shared" si="10"/>
        <v>0</v>
      </c>
      <c r="AN172" s="79">
        <f t="shared" si="11"/>
        <v>0</v>
      </c>
      <c r="AO172" s="79">
        <f t="shared" si="12"/>
        <v>0</v>
      </c>
      <c r="AP172" s="79">
        <f t="shared" si="13"/>
        <v>0</v>
      </c>
      <c r="AQ172" s="79">
        <f t="shared" si="12"/>
        <v>0</v>
      </c>
      <c r="AR172" s="79">
        <f t="shared" si="13"/>
        <v>0</v>
      </c>
      <c r="AS172" s="79">
        <f t="shared" si="14"/>
        <v>0</v>
      </c>
      <c r="AT172" s="79">
        <f t="shared" si="15"/>
        <v>0</v>
      </c>
      <c r="AU172" s="79">
        <f t="shared" si="16"/>
        <v>0</v>
      </c>
      <c r="AV172" s="79">
        <f t="shared" si="17"/>
        <v>0</v>
      </c>
      <c r="AW172" s="79">
        <f t="shared" si="18"/>
        <v>0</v>
      </c>
      <c r="AX172" s="79">
        <f t="shared" si="19"/>
        <v>0</v>
      </c>
      <c r="AY172" s="79">
        <f t="shared" si="20"/>
        <v>0</v>
      </c>
      <c r="AZ172" s="79">
        <f t="shared" si="21"/>
        <v>0</v>
      </c>
      <c r="BA172" s="79">
        <f t="shared" si="22"/>
        <v>0</v>
      </c>
      <c r="BB172" s="79">
        <f t="shared" si="23"/>
        <v>0</v>
      </c>
      <c r="BC172" s="79">
        <f t="shared" si="22"/>
        <v>0</v>
      </c>
      <c r="BD172" s="79">
        <f t="shared" si="23"/>
        <v>0</v>
      </c>
      <c r="BE172" s="79">
        <f t="shared" si="24"/>
        <v>0</v>
      </c>
      <c r="BF172" s="79">
        <f t="shared" si="25"/>
        <v>0</v>
      </c>
      <c r="BG172" s="79">
        <f t="shared" si="26"/>
        <v>0</v>
      </c>
      <c r="BH172" s="79">
        <f t="shared" si="27"/>
        <v>0</v>
      </c>
      <c r="BI172" s="79">
        <f t="shared" si="28"/>
        <v>0</v>
      </c>
      <c r="BJ172" s="79">
        <f t="shared" si="29"/>
        <v>0</v>
      </c>
      <c r="BK172" s="56"/>
      <c r="BL172" s="56"/>
    </row>
    <row r="173" spans="1:64" ht="55.2" x14ac:dyDescent="0.3">
      <c r="A173" s="12">
        <f>IF(ISBLANK($C173),"",MAX($A$95:$A172)+0.01)</f>
        <v>4.4899999999999896</v>
      </c>
      <c r="B173" s="65" t="s">
        <v>1473</v>
      </c>
      <c r="C173" s="66" t="s">
        <v>1522</v>
      </c>
      <c r="D173" s="44"/>
      <c r="E173" s="45" t="s">
        <v>91</v>
      </c>
      <c r="F173" s="44"/>
      <c r="G173" s="45"/>
      <c r="H173" s="46" t="str">
        <f t="shared" si="60"/>
        <v/>
      </c>
      <c r="I173" s="45"/>
      <c r="J173" s="46" t="str">
        <f t="shared" si="61"/>
        <v/>
      </c>
      <c r="K173" s="45"/>
      <c r="L173" s="46" t="str">
        <f t="shared" si="62"/>
        <v/>
      </c>
      <c r="M173" s="45"/>
      <c r="N173" s="46" t="str">
        <f t="shared" si="63"/>
        <v/>
      </c>
      <c r="O173" s="44"/>
      <c r="P173" s="45"/>
      <c r="Q173" s="50" t="str">
        <f t="shared" si="64"/>
        <v/>
      </c>
      <c r="R173" s="53" t="str">
        <f t="shared" si="65"/>
        <v>Wahl treffen</v>
      </c>
      <c r="S173" s="43"/>
      <c r="T173" s="43"/>
      <c r="U173" s="43"/>
      <c r="W173" s="37">
        <v>0</v>
      </c>
      <c r="X173" s="37">
        <v>0</v>
      </c>
      <c r="Y173" s="37">
        <v>0</v>
      </c>
      <c r="Z173" s="37">
        <v>0</v>
      </c>
      <c r="AA173" s="37">
        <v>0</v>
      </c>
      <c r="AB173" s="38">
        <v>0</v>
      </c>
      <c r="AC173" s="38">
        <v>0</v>
      </c>
      <c r="AD173" s="38">
        <v>0</v>
      </c>
      <c r="AE173" s="38">
        <v>0</v>
      </c>
      <c r="AF173" s="38">
        <v>0</v>
      </c>
      <c r="AG173" s="36">
        <f t="shared" si="66"/>
        <v>0</v>
      </c>
      <c r="AI173" s="56"/>
      <c r="AJ173" s="56"/>
      <c r="AK173" s="56"/>
      <c r="AL173" s="56"/>
      <c r="AM173" s="79">
        <f t="shared" si="10"/>
        <v>0</v>
      </c>
      <c r="AN173" s="79">
        <f t="shared" si="11"/>
        <v>0</v>
      </c>
      <c r="AO173" s="79">
        <f t="shared" si="12"/>
        <v>0</v>
      </c>
      <c r="AP173" s="79">
        <f t="shared" si="13"/>
        <v>0</v>
      </c>
      <c r="AQ173" s="79">
        <f t="shared" si="12"/>
        <v>0</v>
      </c>
      <c r="AR173" s="79">
        <f t="shared" si="13"/>
        <v>0</v>
      </c>
      <c r="AS173" s="79">
        <f t="shared" si="14"/>
        <v>0</v>
      </c>
      <c r="AT173" s="79">
        <f t="shared" si="15"/>
        <v>0</v>
      </c>
      <c r="AU173" s="79">
        <f t="shared" si="16"/>
        <v>0</v>
      </c>
      <c r="AV173" s="79">
        <f t="shared" si="17"/>
        <v>0</v>
      </c>
      <c r="AW173" s="79">
        <f t="shared" si="18"/>
        <v>0</v>
      </c>
      <c r="AX173" s="79">
        <f t="shared" si="19"/>
        <v>0</v>
      </c>
      <c r="AY173" s="79">
        <f t="shared" si="20"/>
        <v>0</v>
      </c>
      <c r="AZ173" s="79">
        <f t="shared" si="21"/>
        <v>0</v>
      </c>
      <c r="BA173" s="79">
        <f t="shared" si="22"/>
        <v>0</v>
      </c>
      <c r="BB173" s="79">
        <f t="shared" si="23"/>
        <v>0</v>
      </c>
      <c r="BC173" s="79">
        <f t="shared" si="22"/>
        <v>0</v>
      </c>
      <c r="BD173" s="79">
        <f t="shared" si="23"/>
        <v>0</v>
      </c>
      <c r="BE173" s="79">
        <f t="shared" si="24"/>
        <v>0</v>
      </c>
      <c r="BF173" s="79">
        <f t="shared" si="25"/>
        <v>0</v>
      </c>
      <c r="BG173" s="79">
        <f t="shared" si="26"/>
        <v>0</v>
      </c>
      <c r="BH173" s="79">
        <f t="shared" si="27"/>
        <v>0</v>
      </c>
      <c r="BI173" s="79">
        <f t="shared" si="28"/>
        <v>0</v>
      </c>
      <c r="BJ173" s="79">
        <f t="shared" si="29"/>
        <v>0</v>
      </c>
      <c r="BK173" s="56"/>
      <c r="BL173" s="56"/>
    </row>
    <row r="174" spans="1:64" ht="55.2" x14ac:dyDescent="0.3">
      <c r="A174" s="12">
        <f>IF(ISBLANK($C174),"",MAX($A$95:$A173)+0.01)</f>
        <v>4.4999999999999893</v>
      </c>
      <c r="B174" s="65" t="s">
        <v>1473</v>
      </c>
      <c r="C174" s="66" t="s">
        <v>1524</v>
      </c>
      <c r="D174" s="44"/>
      <c r="E174" s="45" t="s">
        <v>91</v>
      </c>
      <c r="F174" s="44"/>
      <c r="G174" s="45"/>
      <c r="H174" s="46" t="str">
        <f t="shared" si="60"/>
        <v/>
      </c>
      <c r="I174" s="45"/>
      <c r="J174" s="46" t="str">
        <f t="shared" si="61"/>
        <v/>
      </c>
      <c r="K174" s="45"/>
      <c r="L174" s="46" t="str">
        <f t="shared" si="62"/>
        <v/>
      </c>
      <c r="M174" s="45"/>
      <c r="N174" s="46" t="str">
        <f t="shared" si="63"/>
        <v/>
      </c>
      <c r="O174" s="44"/>
      <c r="P174" s="45"/>
      <c r="Q174" s="50" t="str">
        <f t="shared" si="64"/>
        <v/>
      </c>
      <c r="R174" s="53" t="str">
        <f t="shared" si="65"/>
        <v>Wahl treffen</v>
      </c>
      <c r="S174" s="43"/>
      <c r="T174" s="43"/>
      <c r="U174" s="43"/>
      <c r="W174" s="37">
        <v>0</v>
      </c>
      <c r="X174" s="37">
        <v>0</v>
      </c>
      <c r="Y174" s="37">
        <v>0</v>
      </c>
      <c r="Z174" s="37">
        <v>0</v>
      </c>
      <c r="AA174" s="37">
        <v>0</v>
      </c>
      <c r="AB174" s="38">
        <v>0</v>
      </c>
      <c r="AC174" s="38">
        <v>0</v>
      </c>
      <c r="AD174" s="38">
        <v>0</v>
      </c>
      <c r="AE174" s="38">
        <v>0</v>
      </c>
      <c r="AF174" s="38">
        <v>0</v>
      </c>
      <c r="AG174" s="36">
        <f t="shared" si="66"/>
        <v>0</v>
      </c>
      <c r="AI174" s="56"/>
      <c r="AJ174" s="56"/>
      <c r="AK174" s="56"/>
      <c r="AL174" s="56"/>
      <c r="AM174" s="79">
        <f t="shared" si="10"/>
        <v>0</v>
      </c>
      <c r="AN174" s="79">
        <f t="shared" si="11"/>
        <v>0</v>
      </c>
      <c r="AO174" s="79">
        <f t="shared" si="12"/>
        <v>0</v>
      </c>
      <c r="AP174" s="79">
        <f t="shared" si="13"/>
        <v>0</v>
      </c>
      <c r="AQ174" s="79">
        <f t="shared" si="12"/>
        <v>0</v>
      </c>
      <c r="AR174" s="79">
        <f t="shared" si="13"/>
        <v>0</v>
      </c>
      <c r="AS174" s="79">
        <f t="shared" si="14"/>
        <v>0</v>
      </c>
      <c r="AT174" s="79">
        <f t="shared" si="15"/>
        <v>0</v>
      </c>
      <c r="AU174" s="79">
        <f t="shared" si="16"/>
        <v>0</v>
      </c>
      <c r="AV174" s="79">
        <f t="shared" si="17"/>
        <v>0</v>
      </c>
      <c r="AW174" s="79">
        <f t="shared" si="18"/>
        <v>0</v>
      </c>
      <c r="AX174" s="79">
        <f t="shared" si="19"/>
        <v>0</v>
      </c>
      <c r="AY174" s="79">
        <f t="shared" si="20"/>
        <v>0</v>
      </c>
      <c r="AZ174" s="79">
        <f t="shared" si="21"/>
        <v>0</v>
      </c>
      <c r="BA174" s="79">
        <f t="shared" si="22"/>
        <v>0</v>
      </c>
      <c r="BB174" s="79">
        <f t="shared" si="23"/>
        <v>0</v>
      </c>
      <c r="BC174" s="79">
        <f t="shared" si="22"/>
        <v>0</v>
      </c>
      <c r="BD174" s="79">
        <f t="shared" si="23"/>
        <v>0</v>
      </c>
      <c r="BE174" s="79">
        <f t="shared" si="24"/>
        <v>0</v>
      </c>
      <c r="BF174" s="79">
        <f t="shared" si="25"/>
        <v>0</v>
      </c>
      <c r="BG174" s="79">
        <f t="shared" si="26"/>
        <v>0</v>
      </c>
      <c r="BH174" s="79">
        <f t="shared" si="27"/>
        <v>0</v>
      </c>
      <c r="BI174" s="79">
        <f t="shared" si="28"/>
        <v>0</v>
      </c>
      <c r="BJ174" s="79">
        <f t="shared" si="29"/>
        <v>0</v>
      </c>
      <c r="BK174" s="56"/>
      <c r="BL174" s="56"/>
    </row>
    <row r="175" spans="1:64" ht="69" x14ac:dyDescent="0.3">
      <c r="A175" s="12">
        <f>IF(ISBLANK($C175),"",MAX($A$95:$A174)+0.01)</f>
        <v>4.5099999999999891</v>
      </c>
      <c r="B175" s="65" t="s">
        <v>1518</v>
      </c>
      <c r="C175" s="66" t="s">
        <v>1525</v>
      </c>
      <c r="D175" s="44"/>
      <c r="E175" s="45" t="s">
        <v>91</v>
      </c>
      <c r="F175" s="44"/>
      <c r="G175" s="45"/>
      <c r="H175" s="46" t="str">
        <f t="shared" si="60"/>
        <v/>
      </c>
      <c r="I175" s="45"/>
      <c r="J175" s="46" t="str">
        <f t="shared" si="61"/>
        <v/>
      </c>
      <c r="K175" s="45"/>
      <c r="L175" s="46" t="str">
        <f t="shared" si="62"/>
        <v/>
      </c>
      <c r="M175" s="45"/>
      <c r="N175" s="46" t="str">
        <f t="shared" si="63"/>
        <v/>
      </c>
      <c r="O175" s="44"/>
      <c r="P175" s="45"/>
      <c r="Q175" s="50" t="str">
        <f t="shared" si="64"/>
        <v/>
      </c>
      <c r="R175" s="53" t="str">
        <f t="shared" si="65"/>
        <v/>
      </c>
      <c r="S175" s="43"/>
      <c r="T175" s="43"/>
      <c r="U175" s="43"/>
      <c r="W175" s="37">
        <v>0</v>
      </c>
      <c r="X175" s="37">
        <v>0</v>
      </c>
      <c r="Y175" s="37">
        <v>0</v>
      </c>
      <c r="Z175" s="37">
        <v>0</v>
      </c>
      <c r="AA175" s="37">
        <v>0</v>
      </c>
      <c r="AB175" s="38">
        <v>0</v>
      </c>
      <c r="AC175" s="38">
        <v>0</v>
      </c>
      <c r="AD175" s="38">
        <v>0</v>
      </c>
      <c r="AE175" s="38">
        <v>0</v>
      </c>
      <c r="AF175" s="38">
        <v>0</v>
      </c>
      <c r="AG175" s="36">
        <f t="shared" si="66"/>
        <v>0</v>
      </c>
      <c r="AI175" s="56"/>
      <c r="AJ175" s="56"/>
      <c r="AK175" s="56"/>
      <c r="AL175" s="56"/>
      <c r="AM175" s="79">
        <f t="shared" ref="AM175:AM194" si="67">IF(IFERROR(FIND(AM$94,$B175),0)&gt;0,_xlfn.NUMBERVALUE($H175&amp;" "),0)</f>
        <v>0</v>
      </c>
      <c r="AN175" s="79">
        <f t="shared" ref="AN175:AN194" si="68">IF(AM175&gt;0,16,0)</f>
        <v>0</v>
      </c>
      <c r="AO175" s="79">
        <f t="shared" ref="AO175:AQ194" si="69">IF(IFERROR(FIND(AO$94,$B175),0)&gt;0,_xlfn.NUMBERVALUE($H175&amp;" "),0)</f>
        <v>0</v>
      </c>
      <c r="AP175" s="79">
        <f t="shared" ref="AP175:AR194" si="70">IF(AO175&gt;0,16,0)</f>
        <v>0</v>
      </c>
      <c r="AQ175" s="79">
        <f t="shared" si="69"/>
        <v>0</v>
      </c>
      <c r="AR175" s="79">
        <f t="shared" si="70"/>
        <v>0</v>
      </c>
      <c r="AS175" s="79">
        <f t="shared" ref="AS175:AS194" si="71">IF(IFERROR(FIND(AS$94,$B175),0)&gt;0,_xlfn.NUMBERVALUE($H175&amp;" "),0)</f>
        <v>0</v>
      </c>
      <c r="AT175" s="79">
        <f t="shared" ref="AT175:AT194" si="72">IF(AS175&gt;0,16,0)</f>
        <v>0</v>
      </c>
      <c r="AU175" s="79">
        <f t="shared" ref="AU175:AU194" si="73">IF(IFERROR(FIND(AU$94,$B175),0)&gt;0,_xlfn.NUMBERVALUE($H175&amp;" "),0)</f>
        <v>0</v>
      </c>
      <c r="AV175" s="79">
        <f t="shared" ref="AV175:AV194" si="74">IF(AU175&gt;0,16,0)</f>
        <v>0</v>
      </c>
      <c r="AW175" s="79">
        <f t="shared" ref="AW175:AW194" si="75">IF(IFERROR(FIND(AW$94,$B175),0)&gt;0,_xlfn.NUMBERVALUE($H175&amp;" "),0)</f>
        <v>0</v>
      </c>
      <c r="AX175" s="79">
        <f t="shared" ref="AX175:AX194" si="76">IF(AW175&gt;0,16,0)</f>
        <v>0</v>
      </c>
      <c r="AY175" s="79">
        <f t="shared" ref="AY175:AY194" si="77">IF(IFERROR(FIND(AY$94,$B175),0)&gt;0,_xlfn.NUMBERVALUE($J175&amp;" "),0)</f>
        <v>0</v>
      </c>
      <c r="AZ175" s="79">
        <f t="shared" ref="AZ175:AZ194" si="78">IF(AY175&gt;0,16,0)</f>
        <v>0</v>
      </c>
      <c r="BA175" s="79">
        <f t="shared" ref="BA175:BC194" si="79">IF(IFERROR(FIND(BA$94,$B175),0)&gt;0,_xlfn.NUMBERVALUE($J175&amp;" "),0)</f>
        <v>0</v>
      </c>
      <c r="BB175" s="79">
        <f t="shared" ref="BB175:BD194" si="80">IF(BA175&gt;0,16,0)</f>
        <v>0</v>
      </c>
      <c r="BC175" s="79">
        <f t="shared" si="79"/>
        <v>0</v>
      </c>
      <c r="BD175" s="79">
        <f t="shared" si="80"/>
        <v>0</v>
      </c>
      <c r="BE175" s="79">
        <f t="shared" ref="BE175:BE194" si="81">IF(IFERROR(FIND(BE$94,$B175),0)&gt;0,_xlfn.NUMBERVALUE($J175&amp;" "),0)</f>
        <v>0</v>
      </c>
      <c r="BF175" s="79">
        <f t="shared" ref="BF175:BF194" si="82">IF(BE175&gt;0,16,0)</f>
        <v>0</v>
      </c>
      <c r="BG175" s="79">
        <f t="shared" ref="BG175:BG194" si="83">IF(IFERROR(FIND(BG$94,$B175),0)&gt;0,_xlfn.NUMBERVALUE($J175&amp;" "),0)</f>
        <v>0</v>
      </c>
      <c r="BH175" s="79">
        <f t="shared" ref="BH175:BH194" si="84">IF(BG175&gt;0,16,0)</f>
        <v>0</v>
      </c>
      <c r="BI175" s="79">
        <f t="shared" ref="BI175:BI194" si="85">IF(IFERROR(FIND(BI$94,$B175),0)&gt;0,_xlfn.NUMBERVALUE($J175&amp;" "),0)</f>
        <v>0</v>
      </c>
      <c r="BJ175" s="79">
        <f t="shared" ref="BJ175:BJ194" si="86">IF(BI175&gt;0,16,0)</f>
        <v>0</v>
      </c>
      <c r="BK175" s="56"/>
      <c r="BL175" s="56"/>
    </row>
    <row r="176" spans="1:64" ht="69" x14ac:dyDescent="0.3">
      <c r="A176" s="12">
        <f>IF(ISBLANK($C176),"",MAX($A$95:$A175)+0.01)</f>
        <v>4.5199999999999889</v>
      </c>
      <c r="B176" s="65" t="s">
        <v>1518</v>
      </c>
      <c r="C176" s="66" t="s">
        <v>1526</v>
      </c>
      <c r="D176" s="44"/>
      <c r="E176" s="45" t="s">
        <v>91</v>
      </c>
      <c r="F176" s="44"/>
      <c r="G176" s="45"/>
      <c r="H176" s="46" t="str">
        <f t="shared" si="60"/>
        <v/>
      </c>
      <c r="I176" s="45"/>
      <c r="J176" s="46" t="str">
        <f t="shared" si="61"/>
        <v/>
      </c>
      <c r="K176" s="45"/>
      <c r="L176" s="46" t="str">
        <f t="shared" si="62"/>
        <v/>
      </c>
      <c r="M176" s="45"/>
      <c r="N176" s="46" t="str">
        <f t="shared" si="63"/>
        <v/>
      </c>
      <c r="O176" s="44"/>
      <c r="P176" s="45"/>
      <c r="Q176" s="50" t="str">
        <f t="shared" si="64"/>
        <v/>
      </c>
      <c r="R176" s="53" t="str">
        <f t="shared" si="65"/>
        <v/>
      </c>
      <c r="S176" s="43"/>
      <c r="T176" s="43"/>
      <c r="U176" s="43"/>
      <c r="W176" s="37">
        <v>0</v>
      </c>
      <c r="X176" s="37">
        <v>0</v>
      </c>
      <c r="Y176" s="37">
        <v>0</v>
      </c>
      <c r="Z176" s="37">
        <v>0</v>
      </c>
      <c r="AA176" s="37">
        <v>0</v>
      </c>
      <c r="AB176" s="38">
        <v>0</v>
      </c>
      <c r="AC176" s="38">
        <v>0</v>
      </c>
      <c r="AD176" s="38">
        <v>0</v>
      </c>
      <c r="AE176" s="38">
        <v>0</v>
      </c>
      <c r="AF176" s="38">
        <v>0</v>
      </c>
      <c r="AG176" s="36">
        <f t="shared" ref="AG176" si="87">IF($AG$100=5,SUM(AB176:AF176),IF($AG$100=4,SUM(AB176:AE176),IF($AG$100=3,SUM(AB176:AD176),IF($AG$100=2,SUM(AB176:AC176),AB176))))/$AG$100</f>
        <v>0</v>
      </c>
      <c r="AI176" s="56"/>
      <c r="AJ176" s="56"/>
      <c r="AK176" s="56"/>
      <c r="AL176" s="56"/>
      <c r="AM176" s="79">
        <f t="shared" si="67"/>
        <v>0</v>
      </c>
      <c r="AN176" s="79">
        <f t="shared" si="68"/>
        <v>0</v>
      </c>
      <c r="AO176" s="79">
        <f t="shared" si="69"/>
        <v>0</v>
      </c>
      <c r="AP176" s="79">
        <f t="shared" si="70"/>
        <v>0</v>
      </c>
      <c r="AQ176" s="79">
        <f t="shared" si="69"/>
        <v>0</v>
      </c>
      <c r="AR176" s="79">
        <f t="shared" si="70"/>
        <v>0</v>
      </c>
      <c r="AS176" s="79">
        <f t="shared" si="71"/>
        <v>0</v>
      </c>
      <c r="AT176" s="79">
        <f t="shared" si="72"/>
        <v>0</v>
      </c>
      <c r="AU176" s="79">
        <f t="shared" si="73"/>
        <v>0</v>
      </c>
      <c r="AV176" s="79">
        <f t="shared" si="74"/>
        <v>0</v>
      </c>
      <c r="AW176" s="79">
        <f t="shared" si="75"/>
        <v>0</v>
      </c>
      <c r="AX176" s="79">
        <f t="shared" si="76"/>
        <v>0</v>
      </c>
      <c r="AY176" s="79">
        <f t="shared" si="77"/>
        <v>0</v>
      </c>
      <c r="AZ176" s="79">
        <f t="shared" si="78"/>
        <v>0</v>
      </c>
      <c r="BA176" s="79">
        <f t="shared" si="79"/>
        <v>0</v>
      </c>
      <c r="BB176" s="79">
        <f t="shared" si="80"/>
        <v>0</v>
      </c>
      <c r="BC176" s="79">
        <f t="shared" si="79"/>
        <v>0</v>
      </c>
      <c r="BD176" s="79">
        <f t="shared" si="80"/>
        <v>0</v>
      </c>
      <c r="BE176" s="79">
        <f t="shared" si="81"/>
        <v>0</v>
      </c>
      <c r="BF176" s="79">
        <f t="shared" si="82"/>
        <v>0</v>
      </c>
      <c r="BG176" s="79">
        <f t="shared" si="83"/>
        <v>0</v>
      </c>
      <c r="BH176" s="79">
        <f t="shared" si="84"/>
        <v>0</v>
      </c>
      <c r="BI176" s="79">
        <f t="shared" si="85"/>
        <v>0</v>
      </c>
      <c r="BJ176" s="79">
        <f t="shared" si="86"/>
        <v>0</v>
      </c>
      <c r="BK176" s="56"/>
      <c r="BL176" s="56"/>
    </row>
    <row r="177" spans="1:64" ht="41.4" x14ac:dyDescent="0.3">
      <c r="A177" s="12">
        <f>IF(ISBLANK($C177),"",MAX($A$95:$A176)+0.01)</f>
        <v>4.5299999999999887</v>
      </c>
      <c r="B177" s="65" t="s">
        <v>1518</v>
      </c>
      <c r="C177" s="66" t="s">
        <v>1527</v>
      </c>
      <c r="D177" s="44"/>
      <c r="E177" s="45" t="s">
        <v>91</v>
      </c>
      <c r="F177" s="44"/>
      <c r="G177" s="45"/>
      <c r="H177" s="46" t="str">
        <f t="shared" si="60"/>
        <v/>
      </c>
      <c r="I177" s="45"/>
      <c r="J177" s="46" t="str">
        <f t="shared" si="61"/>
        <v/>
      </c>
      <c r="K177" s="45"/>
      <c r="L177" s="46" t="str">
        <f t="shared" si="62"/>
        <v/>
      </c>
      <c r="M177" s="45"/>
      <c r="N177" s="46" t="str">
        <f t="shared" si="63"/>
        <v/>
      </c>
      <c r="O177" s="44"/>
      <c r="P177" s="45"/>
      <c r="Q177" s="46" t="str">
        <f t="shared" si="64"/>
        <v/>
      </c>
      <c r="R177" s="53" t="str">
        <f t="shared" si="65"/>
        <v/>
      </c>
      <c r="S177" s="43"/>
      <c r="T177" s="43"/>
      <c r="U177" s="43"/>
      <c r="W177" s="37">
        <v>0</v>
      </c>
      <c r="X177" s="37">
        <v>0</v>
      </c>
      <c r="Y177" s="37">
        <v>0</v>
      </c>
      <c r="Z177" s="37">
        <v>0</v>
      </c>
      <c r="AA177" s="37">
        <v>0</v>
      </c>
      <c r="AB177" s="38">
        <v>0</v>
      </c>
      <c r="AC177" s="38">
        <v>0</v>
      </c>
      <c r="AD177" s="38">
        <v>0</v>
      </c>
      <c r="AE177" s="38">
        <v>0</v>
      </c>
      <c r="AF177" s="38">
        <v>0</v>
      </c>
      <c r="AG177" s="36">
        <f>IF($AG$100=5,SUM(AB177:AF177),IF($AG$100=4,SUM(AB177:AE177),IF($AG$100=3,SUM(AB177:AD177),IF($AG$100=2,SUM(AB177:AC177),AB177))))/$AG$100</f>
        <v>0</v>
      </c>
      <c r="AI177" s="56"/>
      <c r="AJ177" s="56"/>
      <c r="AK177" s="56"/>
      <c r="AL177" s="56"/>
      <c r="AM177" s="79">
        <f t="shared" si="67"/>
        <v>0</v>
      </c>
      <c r="AN177" s="79">
        <f t="shared" si="68"/>
        <v>0</v>
      </c>
      <c r="AO177" s="79">
        <f t="shared" si="69"/>
        <v>0</v>
      </c>
      <c r="AP177" s="79">
        <f t="shared" si="70"/>
        <v>0</v>
      </c>
      <c r="AQ177" s="79">
        <f t="shared" si="69"/>
        <v>0</v>
      </c>
      <c r="AR177" s="79">
        <f t="shared" si="70"/>
        <v>0</v>
      </c>
      <c r="AS177" s="79">
        <f t="shared" si="71"/>
        <v>0</v>
      </c>
      <c r="AT177" s="79">
        <f t="shared" si="72"/>
        <v>0</v>
      </c>
      <c r="AU177" s="79">
        <f t="shared" si="73"/>
        <v>0</v>
      </c>
      <c r="AV177" s="79">
        <f t="shared" si="74"/>
        <v>0</v>
      </c>
      <c r="AW177" s="79">
        <f t="shared" si="75"/>
        <v>0</v>
      </c>
      <c r="AX177" s="79">
        <f t="shared" si="76"/>
        <v>0</v>
      </c>
      <c r="AY177" s="79">
        <f t="shared" si="77"/>
        <v>0</v>
      </c>
      <c r="AZ177" s="79">
        <f t="shared" si="78"/>
        <v>0</v>
      </c>
      <c r="BA177" s="79">
        <f t="shared" si="79"/>
        <v>0</v>
      </c>
      <c r="BB177" s="79">
        <f t="shared" si="80"/>
        <v>0</v>
      </c>
      <c r="BC177" s="79">
        <f t="shared" si="79"/>
        <v>0</v>
      </c>
      <c r="BD177" s="79">
        <f t="shared" si="80"/>
        <v>0</v>
      </c>
      <c r="BE177" s="79">
        <f t="shared" si="81"/>
        <v>0</v>
      </c>
      <c r="BF177" s="79">
        <f t="shared" si="82"/>
        <v>0</v>
      </c>
      <c r="BG177" s="79">
        <f t="shared" si="83"/>
        <v>0</v>
      </c>
      <c r="BH177" s="79">
        <f t="shared" si="84"/>
        <v>0</v>
      </c>
      <c r="BI177" s="79">
        <f t="shared" si="85"/>
        <v>0</v>
      </c>
      <c r="BJ177" s="79">
        <f t="shared" si="86"/>
        <v>0</v>
      </c>
      <c r="BK177" s="56"/>
      <c r="BL177" s="56"/>
    </row>
    <row r="178" spans="1:64" ht="41.4" x14ac:dyDescent="0.3">
      <c r="A178" s="12">
        <f>IF(ISBLANK($C178),"",MAX($A$95:$A177)+0.01)</f>
        <v>4.5399999999999885</v>
      </c>
      <c r="B178" s="65" t="s">
        <v>1518</v>
      </c>
      <c r="C178" s="66" t="s">
        <v>1528</v>
      </c>
      <c r="D178" s="44"/>
      <c r="E178" s="45" t="s">
        <v>91</v>
      </c>
      <c r="F178" s="44"/>
      <c r="G178" s="45"/>
      <c r="H178" s="46" t="str">
        <f t="shared" si="60"/>
        <v/>
      </c>
      <c r="I178" s="45"/>
      <c r="J178" s="46" t="str">
        <f t="shared" si="61"/>
        <v/>
      </c>
      <c r="K178" s="45"/>
      <c r="L178" s="46" t="str">
        <f t="shared" si="62"/>
        <v/>
      </c>
      <c r="M178" s="45"/>
      <c r="N178" s="46" t="str">
        <f t="shared" si="63"/>
        <v/>
      </c>
      <c r="O178" s="44"/>
      <c r="P178" s="45"/>
      <c r="Q178" s="46" t="str">
        <f t="shared" si="64"/>
        <v/>
      </c>
      <c r="R178" s="53" t="str">
        <f t="shared" si="65"/>
        <v/>
      </c>
      <c r="S178" s="43"/>
      <c r="T178" s="43"/>
      <c r="U178" s="43"/>
      <c r="W178" s="37">
        <v>0</v>
      </c>
      <c r="X178" s="37">
        <v>0</v>
      </c>
      <c r="Y178" s="37">
        <v>0</v>
      </c>
      <c r="Z178" s="37">
        <v>0</v>
      </c>
      <c r="AA178" s="37">
        <v>0</v>
      </c>
      <c r="AB178" s="38">
        <v>0</v>
      </c>
      <c r="AC178" s="38">
        <v>0</v>
      </c>
      <c r="AD178" s="38">
        <v>0</v>
      </c>
      <c r="AE178" s="38">
        <v>0</v>
      </c>
      <c r="AF178" s="38">
        <v>0</v>
      </c>
      <c r="AG178" s="36">
        <f t="shared" ref="AG178" si="88">IF($AG$100=5,SUM(AB178:AF178),IF($AG$100=4,SUM(AB178:AE178),IF($AG$100=3,SUM(AB178:AD178),IF($AG$100=2,SUM(AB178:AC178),AB178))))/$AG$100</f>
        <v>0</v>
      </c>
      <c r="AI178" s="56"/>
      <c r="AJ178" s="56"/>
      <c r="AK178" s="56"/>
      <c r="AL178" s="56"/>
      <c r="AM178" s="79">
        <f t="shared" si="67"/>
        <v>0</v>
      </c>
      <c r="AN178" s="79">
        <f t="shared" si="68"/>
        <v>0</v>
      </c>
      <c r="AO178" s="79">
        <f t="shared" si="69"/>
        <v>0</v>
      </c>
      <c r="AP178" s="79">
        <f t="shared" si="70"/>
        <v>0</v>
      </c>
      <c r="AQ178" s="79">
        <f t="shared" si="69"/>
        <v>0</v>
      </c>
      <c r="AR178" s="79">
        <f t="shared" si="70"/>
        <v>0</v>
      </c>
      <c r="AS178" s="79">
        <f t="shared" si="71"/>
        <v>0</v>
      </c>
      <c r="AT178" s="79">
        <f t="shared" si="72"/>
        <v>0</v>
      </c>
      <c r="AU178" s="79">
        <f t="shared" si="73"/>
        <v>0</v>
      </c>
      <c r="AV178" s="79">
        <f t="shared" si="74"/>
        <v>0</v>
      </c>
      <c r="AW178" s="79">
        <f t="shared" si="75"/>
        <v>0</v>
      </c>
      <c r="AX178" s="79">
        <f t="shared" si="76"/>
        <v>0</v>
      </c>
      <c r="AY178" s="79">
        <f t="shared" si="77"/>
        <v>0</v>
      </c>
      <c r="AZ178" s="79">
        <f t="shared" si="78"/>
        <v>0</v>
      </c>
      <c r="BA178" s="79">
        <f t="shared" si="79"/>
        <v>0</v>
      </c>
      <c r="BB178" s="79">
        <f t="shared" si="80"/>
        <v>0</v>
      </c>
      <c r="BC178" s="79">
        <f t="shared" si="79"/>
        <v>0</v>
      </c>
      <c r="BD178" s="79">
        <f t="shared" si="80"/>
        <v>0</v>
      </c>
      <c r="BE178" s="79">
        <f t="shared" si="81"/>
        <v>0</v>
      </c>
      <c r="BF178" s="79">
        <f t="shared" si="82"/>
        <v>0</v>
      </c>
      <c r="BG178" s="79">
        <f t="shared" si="83"/>
        <v>0</v>
      </c>
      <c r="BH178" s="79">
        <f t="shared" si="84"/>
        <v>0</v>
      </c>
      <c r="BI178" s="79">
        <f t="shared" si="85"/>
        <v>0</v>
      </c>
      <c r="BJ178" s="79">
        <f t="shared" si="86"/>
        <v>0</v>
      </c>
      <c r="BK178" s="56"/>
      <c r="BL178" s="56"/>
    </row>
    <row r="179" spans="1:64" ht="41.4" x14ac:dyDescent="0.3">
      <c r="A179" s="12">
        <f>IF(ISBLANK($C179),"",MAX($A$95:$A178)+0.01)</f>
        <v>4.5499999999999883</v>
      </c>
      <c r="B179" s="65" t="s">
        <v>1473</v>
      </c>
      <c r="C179" s="66" t="s">
        <v>1529</v>
      </c>
      <c r="D179" s="44"/>
      <c r="E179" s="45" t="s">
        <v>91</v>
      </c>
      <c r="F179" s="44"/>
      <c r="G179" s="45"/>
      <c r="H179" s="46" t="str">
        <f t="shared" si="60"/>
        <v/>
      </c>
      <c r="I179" s="45"/>
      <c r="J179" s="46" t="str">
        <f t="shared" si="61"/>
        <v/>
      </c>
      <c r="K179" s="45"/>
      <c r="L179" s="46" t="str">
        <f t="shared" si="62"/>
        <v/>
      </c>
      <c r="M179" s="45"/>
      <c r="N179" s="46" t="str">
        <f t="shared" si="63"/>
        <v/>
      </c>
      <c r="O179" s="44"/>
      <c r="P179" s="45"/>
      <c r="Q179" s="46" t="str">
        <f t="shared" si="64"/>
        <v/>
      </c>
      <c r="R179" s="53" t="str">
        <f t="shared" si="65"/>
        <v>Wahl treffen</v>
      </c>
      <c r="S179" s="43"/>
      <c r="T179" s="43"/>
      <c r="U179" s="43"/>
      <c r="W179" s="37">
        <v>0</v>
      </c>
      <c r="X179" s="37">
        <v>0</v>
      </c>
      <c r="Y179" s="37">
        <v>0</v>
      </c>
      <c r="Z179" s="37">
        <v>0</v>
      </c>
      <c r="AA179" s="37">
        <v>0</v>
      </c>
      <c r="AB179" s="38">
        <v>0</v>
      </c>
      <c r="AC179" s="38">
        <v>0</v>
      </c>
      <c r="AD179" s="38">
        <v>0</v>
      </c>
      <c r="AE179" s="38">
        <v>0</v>
      </c>
      <c r="AF179" s="38">
        <v>0</v>
      </c>
      <c r="AG179" s="36">
        <f>IF($AG$100=5,SUM(AB179:AF179),IF($AG$100=4,SUM(AB179:AE179),IF($AG$100=3,SUM(AB179:AD179),IF($AG$100=2,SUM(AB179:AC179),AB179))))/$AG$100</f>
        <v>0</v>
      </c>
      <c r="AI179" s="56"/>
      <c r="AJ179" s="56"/>
      <c r="AK179" s="56"/>
      <c r="AL179" s="56"/>
      <c r="AM179" s="79">
        <f t="shared" si="67"/>
        <v>0</v>
      </c>
      <c r="AN179" s="79">
        <f t="shared" si="68"/>
        <v>0</v>
      </c>
      <c r="AO179" s="79">
        <f t="shared" si="69"/>
        <v>0</v>
      </c>
      <c r="AP179" s="79">
        <f t="shared" si="70"/>
        <v>0</v>
      </c>
      <c r="AQ179" s="79">
        <f t="shared" si="69"/>
        <v>0</v>
      </c>
      <c r="AR179" s="79">
        <f t="shared" si="70"/>
        <v>0</v>
      </c>
      <c r="AS179" s="79">
        <f t="shared" si="71"/>
        <v>0</v>
      </c>
      <c r="AT179" s="79">
        <f t="shared" si="72"/>
        <v>0</v>
      </c>
      <c r="AU179" s="79">
        <f t="shared" si="73"/>
        <v>0</v>
      </c>
      <c r="AV179" s="79">
        <f t="shared" si="74"/>
        <v>0</v>
      </c>
      <c r="AW179" s="79">
        <f t="shared" si="75"/>
        <v>0</v>
      </c>
      <c r="AX179" s="79">
        <f t="shared" si="76"/>
        <v>0</v>
      </c>
      <c r="AY179" s="79">
        <f t="shared" si="77"/>
        <v>0</v>
      </c>
      <c r="AZ179" s="79">
        <f t="shared" si="78"/>
        <v>0</v>
      </c>
      <c r="BA179" s="79">
        <f t="shared" si="79"/>
        <v>0</v>
      </c>
      <c r="BB179" s="79">
        <f t="shared" si="80"/>
        <v>0</v>
      </c>
      <c r="BC179" s="79">
        <f t="shared" si="79"/>
        <v>0</v>
      </c>
      <c r="BD179" s="79">
        <f t="shared" si="80"/>
        <v>0</v>
      </c>
      <c r="BE179" s="79">
        <f t="shared" si="81"/>
        <v>0</v>
      </c>
      <c r="BF179" s="79">
        <f t="shared" si="82"/>
        <v>0</v>
      </c>
      <c r="BG179" s="79">
        <f t="shared" si="83"/>
        <v>0</v>
      </c>
      <c r="BH179" s="79">
        <f t="shared" si="84"/>
        <v>0</v>
      </c>
      <c r="BI179" s="79">
        <f t="shared" si="85"/>
        <v>0</v>
      </c>
      <c r="BJ179" s="79">
        <f t="shared" si="86"/>
        <v>0</v>
      </c>
      <c r="BK179" s="56"/>
      <c r="BL179" s="56"/>
    </row>
    <row r="180" spans="1:64" ht="41.4" x14ac:dyDescent="0.3">
      <c r="A180" s="12">
        <f>IF(ISBLANK($C180),"",MAX($A$95:$A179)+0.01)</f>
        <v>4.5599999999999881</v>
      </c>
      <c r="B180" s="65" t="s">
        <v>1473</v>
      </c>
      <c r="C180" s="66" t="s">
        <v>1530</v>
      </c>
      <c r="D180" s="44"/>
      <c r="E180" s="45" t="s">
        <v>91</v>
      </c>
      <c r="F180" s="44"/>
      <c r="G180" s="45"/>
      <c r="H180" s="46" t="str">
        <f t="shared" si="60"/>
        <v/>
      </c>
      <c r="I180" s="45"/>
      <c r="J180" s="46" t="str">
        <f t="shared" si="61"/>
        <v/>
      </c>
      <c r="K180" s="45"/>
      <c r="L180" s="46" t="str">
        <f t="shared" si="62"/>
        <v/>
      </c>
      <c r="M180" s="45"/>
      <c r="N180" s="46" t="str">
        <f t="shared" si="63"/>
        <v/>
      </c>
      <c r="O180" s="44"/>
      <c r="P180" s="45"/>
      <c r="Q180" s="46" t="str">
        <f t="shared" si="64"/>
        <v/>
      </c>
      <c r="R180" s="53" t="str">
        <f t="shared" si="65"/>
        <v>Wahl treffen</v>
      </c>
      <c r="S180" s="43"/>
      <c r="T180" s="43"/>
      <c r="U180" s="43"/>
      <c r="W180" s="37">
        <v>0</v>
      </c>
      <c r="X180" s="37">
        <v>0</v>
      </c>
      <c r="Y180" s="37">
        <v>0</v>
      </c>
      <c r="Z180" s="37">
        <v>0</v>
      </c>
      <c r="AA180" s="37">
        <v>0</v>
      </c>
      <c r="AB180" s="38">
        <v>0</v>
      </c>
      <c r="AC180" s="38">
        <v>0</v>
      </c>
      <c r="AD180" s="38">
        <v>0</v>
      </c>
      <c r="AE180" s="38">
        <v>0</v>
      </c>
      <c r="AF180" s="38">
        <v>0</v>
      </c>
      <c r="AG180" s="36">
        <f>IF($AG$100=5,SUM(AB180:AF180),IF($AG$100=4,SUM(AB180:AE180),IF($AG$100=3,SUM(AB180:AD180),IF($AG$100=2,SUM(AB180:AC180),AB180))))/$AG$100</f>
        <v>0</v>
      </c>
      <c r="AI180" s="56"/>
      <c r="AJ180" s="56"/>
      <c r="AK180" s="56"/>
      <c r="AL180" s="56"/>
      <c r="AM180" s="79">
        <f t="shared" si="67"/>
        <v>0</v>
      </c>
      <c r="AN180" s="79">
        <f t="shared" si="68"/>
        <v>0</v>
      </c>
      <c r="AO180" s="79">
        <f t="shared" si="69"/>
        <v>0</v>
      </c>
      <c r="AP180" s="79">
        <f t="shared" si="70"/>
        <v>0</v>
      </c>
      <c r="AQ180" s="79">
        <f t="shared" si="69"/>
        <v>0</v>
      </c>
      <c r="AR180" s="79">
        <f t="shared" si="70"/>
        <v>0</v>
      </c>
      <c r="AS180" s="79">
        <f t="shared" si="71"/>
        <v>0</v>
      </c>
      <c r="AT180" s="79">
        <f t="shared" si="72"/>
        <v>0</v>
      </c>
      <c r="AU180" s="79">
        <f t="shared" si="73"/>
        <v>0</v>
      </c>
      <c r="AV180" s="79">
        <f t="shared" si="74"/>
        <v>0</v>
      </c>
      <c r="AW180" s="79">
        <f t="shared" si="75"/>
        <v>0</v>
      </c>
      <c r="AX180" s="79">
        <f t="shared" si="76"/>
        <v>0</v>
      </c>
      <c r="AY180" s="79">
        <f t="shared" si="77"/>
        <v>0</v>
      </c>
      <c r="AZ180" s="79">
        <f t="shared" si="78"/>
        <v>0</v>
      </c>
      <c r="BA180" s="79">
        <f t="shared" si="79"/>
        <v>0</v>
      </c>
      <c r="BB180" s="79">
        <f t="shared" si="80"/>
        <v>0</v>
      </c>
      <c r="BC180" s="79">
        <f t="shared" si="79"/>
        <v>0</v>
      </c>
      <c r="BD180" s="79">
        <f t="shared" si="80"/>
        <v>0</v>
      </c>
      <c r="BE180" s="79">
        <f t="shared" si="81"/>
        <v>0</v>
      </c>
      <c r="BF180" s="79">
        <f t="shared" si="82"/>
        <v>0</v>
      </c>
      <c r="BG180" s="79">
        <f t="shared" si="83"/>
        <v>0</v>
      </c>
      <c r="BH180" s="79">
        <f t="shared" si="84"/>
        <v>0</v>
      </c>
      <c r="BI180" s="79">
        <f t="shared" si="85"/>
        <v>0</v>
      </c>
      <c r="BJ180" s="79">
        <f t="shared" si="86"/>
        <v>0</v>
      </c>
      <c r="BK180" s="56"/>
      <c r="BL180" s="56"/>
    </row>
    <row r="181" spans="1:64" ht="82.8" x14ac:dyDescent="0.3">
      <c r="A181" s="12">
        <f>IF(ISBLANK($C181),"",MAX($A$95:$A180)+0.01)</f>
        <v>4.5699999999999878</v>
      </c>
      <c r="B181" s="65" t="s">
        <v>1473</v>
      </c>
      <c r="C181" s="66" t="s">
        <v>1531</v>
      </c>
      <c r="D181" s="44"/>
      <c r="E181" s="45" t="s">
        <v>91</v>
      </c>
      <c r="F181" s="44"/>
      <c r="G181" s="45"/>
      <c r="H181" s="46" t="str">
        <f t="shared" si="60"/>
        <v/>
      </c>
      <c r="I181" s="45"/>
      <c r="J181" s="46" t="str">
        <f t="shared" si="61"/>
        <v/>
      </c>
      <c r="K181" s="45"/>
      <c r="L181" s="46" t="str">
        <f t="shared" si="62"/>
        <v/>
      </c>
      <c r="M181" s="45"/>
      <c r="N181" s="46" t="str">
        <f t="shared" si="63"/>
        <v/>
      </c>
      <c r="O181" s="44"/>
      <c r="P181" s="45"/>
      <c r="Q181" s="46" t="str">
        <f t="shared" si="64"/>
        <v/>
      </c>
      <c r="R181" s="53" t="str">
        <f t="shared" si="65"/>
        <v>Wahl treffen</v>
      </c>
      <c r="S181" s="43"/>
      <c r="T181" s="43"/>
      <c r="U181" s="43"/>
      <c r="W181" s="37">
        <v>0</v>
      </c>
      <c r="X181" s="37">
        <v>0</v>
      </c>
      <c r="Y181" s="37">
        <v>0</v>
      </c>
      <c r="Z181" s="37">
        <v>0</v>
      </c>
      <c r="AA181" s="37">
        <v>0</v>
      </c>
      <c r="AB181" s="38">
        <v>0</v>
      </c>
      <c r="AC181" s="38">
        <v>0</v>
      </c>
      <c r="AD181" s="38">
        <v>0</v>
      </c>
      <c r="AE181" s="38">
        <v>0</v>
      </c>
      <c r="AF181" s="38">
        <v>0</v>
      </c>
      <c r="AG181" s="36">
        <f>IF($AG$100=5,SUM(AB181:AF181),IF($AG$100=4,SUM(AB181:AE181),IF($AG$100=3,SUM(AB181:AD181),IF($AG$100=2,SUM(AB181:AC181),AB181))))/$AG$100</f>
        <v>0</v>
      </c>
      <c r="AI181" s="56"/>
      <c r="AJ181" s="56"/>
      <c r="AK181" s="56"/>
      <c r="AL181" s="56"/>
      <c r="AM181" s="79">
        <f t="shared" si="67"/>
        <v>0</v>
      </c>
      <c r="AN181" s="79">
        <f t="shared" si="68"/>
        <v>0</v>
      </c>
      <c r="AO181" s="79">
        <f t="shared" si="69"/>
        <v>0</v>
      </c>
      <c r="AP181" s="79">
        <f t="shared" si="70"/>
        <v>0</v>
      </c>
      <c r="AQ181" s="79">
        <f t="shared" si="69"/>
        <v>0</v>
      </c>
      <c r="AR181" s="79">
        <f t="shared" si="70"/>
        <v>0</v>
      </c>
      <c r="AS181" s="79">
        <f t="shared" si="71"/>
        <v>0</v>
      </c>
      <c r="AT181" s="79">
        <f t="shared" si="72"/>
        <v>0</v>
      </c>
      <c r="AU181" s="79">
        <f t="shared" si="73"/>
        <v>0</v>
      </c>
      <c r="AV181" s="79">
        <f t="shared" si="74"/>
        <v>0</v>
      </c>
      <c r="AW181" s="79">
        <f t="shared" si="75"/>
        <v>0</v>
      </c>
      <c r="AX181" s="79">
        <f t="shared" si="76"/>
        <v>0</v>
      </c>
      <c r="AY181" s="79">
        <f t="shared" si="77"/>
        <v>0</v>
      </c>
      <c r="AZ181" s="79">
        <f t="shared" si="78"/>
        <v>0</v>
      </c>
      <c r="BA181" s="79">
        <f t="shared" si="79"/>
        <v>0</v>
      </c>
      <c r="BB181" s="79">
        <f t="shared" si="80"/>
        <v>0</v>
      </c>
      <c r="BC181" s="79">
        <f t="shared" si="79"/>
        <v>0</v>
      </c>
      <c r="BD181" s="79">
        <f t="shared" si="80"/>
        <v>0</v>
      </c>
      <c r="BE181" s="79">
        <f t="shared" si="81"/>
        <v>0</v>
      </c>
      <c r="BF181" s="79">
        <f t="shared" si="82"/>
        <v>0</v>
      </c>
      <c r="BG181" s="79">
        <f t="shared" si="83"/>
        <v>0</v>
      </c>
      <c r="BH181" s="79">
        <f t="shared" si="84"/>
        <v>0</v>
      </c>
      <c r="BI181" s="79">
        <f t="shared" si="85"/>
        <v>0</v>
      </c>
      <c r="BJ181" s="79">
        <f t="shared" si="86"/>
        <v>0</v>
      </c>
      <c r="BK181" s="56"/>
      <c r="BL181" s="56"/>
    </row>
    <row r="182" spans="1:64" ht="96.6" x14ac:dyDescent="0.3">
      <c r="A182" s="12">
        <f>IF(ISBLANK($C182),"",MAX($A$95:$A181)+0.01)</f>
        <v>4.5799999999999876</v>
      </c>
      <c r="B182" s="65" t="s">
        <v>1517</v>
      </c>
      <c r="C182" s="66" t="s">
        <v>1532</v>
      </c>
      <c r="D182" s="44"/>
      <c r="E182" s="45" t="s">
        <v>91</v>
      </c>
      <c r="F182" s="44"/>
      <c r="G182" s="45"/>
      <c r="H182" s="46" t="str">
        <f t="shared" si="60"/>
        <v/>
      </c>
      <c r="I182" s="45"/>
      <c r="J182" s="46" t="str">
        <f t="shared" si="61"/>
        <v/>
      </c>
      <c r="K182" s="45"/>
      <c r="L182" s="46" t="str">
        <f t="shared" si="62"/>
        <v/>
      </c>
      <c r="M182" s="45"/>
      <c r="N182" s="46" t="str">
        <f t="shared" si="63"/>
        <v/>
      </c>
      <c r="O182" s="44"/>
      <c r="P182" s="45"/>
      <c r="Q182" s="46" t="str">
        <f t="shared" si="64"/>
        <v/>
      </c>
      <c r="R182" s="53" t="str">
        <f t="shared" si="65"/>
        <v>Wahl treffen</v>
      </c>
      <c r="S182" s="43"/>
      <c r="T182" s="43"/>
      <c r="U182" s="43"/>
      <c r="W182" s="37">
        <v>0</v>
      </c>
      <c r="X182" s="37">
        <v>0</v>
      </c>
      <c r="Y182" s="37">
        <v>0</v>
      </c>
      <c r="Z182" s="37">
        <v>0</v>
      </c>
      <c r="AA182" s="37">
        <v>0</v>
      </c>
      <c r="AB182" s="38">
        <v>0</v>
      </c>
      <c r="AC182" s="38">
        <v>0</v>
      </c>
      <c r="AD182" s="38">
        <v>0</v>
      </c>
      <c r="AE182" s="38">
        <v>0</v>
      </c>
      <c r="AF182" s="38">
        <v>0</v>
      </c>
      <c r="AG182" s="36">
        <f>IF($AG$100=5,SUM(AB182:AF182),IF($AG$100=4,SUM(AB182:AE182),IF($AG$100=3,SUM(AB182:AD182),IF($AG$100=2,SUM(AB182:AC182),AB182))))/$AG$100</f>
        <v>0</v>
      </c>
      <c r="AI182" s="56"/>
      <c r="AJ182" s="56"/>
      <c r="AK182" s="56"/>
      <c r="AL182" s="56"/>
      <c r="AM182" s="79">
        <f t="shared" si="67"/>
        <v>0</v>
      </c>
      <c r="AN182" s="79">
        <f t="shared" si="68"/>
        <v>0</v>
      </c>
      <c r="AO182" s="79">
        <f t="shared" si="69"/>
        <v>0</v>
      </c>
      <c r="AP182" s="79">
        <f t="shared" si="70"/>
        <v>0</v>
      </c>
      <c r="AQ182" s="79">
        <f t="shared" si="69"/>
        <v>0</v>
      </c>
      <c r="AR182" s="79">
        <f t="shared" si="70"/>
        <v>0</v>
      </c>
      <c r="AS182" s="79">
        <f t="shared" si="71"/>
        <v>0</v>
      </c>
      <c r="AT182" s="79">
        <f t="shared" si="72"/>
        <v>0</v>
      </c>
      <c r="AU182" s="79">
        <f t="shared" si="73"/>
        <v>0</v>
      </c>
      <c r="AV182" s="79">
        <f t="shared" si="74"/>
        <v>0</v>
      </c>
      <c r="AW182" s="79">
        <f t="shared" si="75"/>
        <v>0</v>
      </c>
      <c r="AX182" s="79">
        <f t="shared" si="76"/>
        <v>0</v>
      </c>
      <c r="AY182" s="79">
        <f t="shared" si="77"/>
        <v>0</v>
      </c>
      <c r="AZ182" s="79">
        <f t="shared" si="78"/>
        <v>0</v>
      </c>
      <c r="BA182" s="79">
        <f t="shared" si="79"/>
        <v>0</v>
      </c>
      <c r="BB182" s="79">
        <f t="shared" si="80"/>
        <v>0</v>
      </c>
      <c r="BC182" s="79">
        <f t="shared" si="79"/>
        <v>0</v>
      </c>
      <c r="BD182" s="79">
        <f t="shared" si="80"/>
        <v>0</v>
      </c>
      <c r="BE182" s="79">
        <f t="shared" si="81"/>
        <v>0</v>
      </c>
      <c r="BF182" s="79">
        <f t="shared" si="82"/>
        <v>0</v>
      </c>
      <c r="BG182" s="79">
        <f t="shared" si="83"/>
        <v>0</v>
      </c>
      <c r="BH182" s="79">
        <f t="shared" si="84"/>
        <v>0</v>
      </c>
      <c r="BI182" s="79">
        <f t="shared" si="85"/>
        <v>0</v>
      </c>
      <c r="BJ182" s="79">
        <f t="shared" si="86"/>
        <v>0</v>
      </c>
      <c r="BK182" s="56"/>
      <c r="BL182" s="56"/>
    </row>
    <row r="183" spans="1:64" ht="69" x14ac:dyDescent="0.3">
      <c r="A183" s="12">
        <f>IF(ISBLANK($C183),"",MAX($A$95:$A182)+0.01)</f>
        <v>4.5899999999999874</v>
      </c>
      <c r="B183" s="65" t="s">
        <v>1473</v>
      </c>
      <c r="C183" s="66" t="s">
        <v>1533</v>
      </c>
      <c r="D183" s="44"/>
      <c r="E183" s="45" t="s">
        <v>91</v>
      </c>
      <c r="F183" s="44"/>
      <c r="G183" s="45"/>
      <c r="H183" s="46" t="str">
        <f t="shared" si="60"/>
        <v/>
      </c>
      <c r="I183" s="45"/>
      <c r="J183" s="46" t="str">
        <f t="shared" si="61"/>
        <v/>
      </c>
      <c r="K183" s="45"/>
      <c r="L183" s="46" t="str">
        <f t="shared" si="62"/>
        <v/>
      </c>
      <c r="M183" s="45"/>
      <c r="N183" s="46" t="str">
        <f t="shared" si="63"/>
        <v/>
      </c>
      <c r="O183" s="44"/>
      <c r="P183" s="45"/>
      <c r="Q183" s="46" t="str">
        <f t="shared" si="64"/>
        <v/>
      </c>
      <c r="R183" s="53" t="str">
        <f t="shared" si="65"/>
        <v>Wahl treffen</v>
      </c>
      <c r="S183" s="43"/>
      <c r="T183" s="43"/>
      <c r="U183" s="43"/>
      <c r="W183" s="37">
        <v>0</v>
      </c>
      <c r="X183" s="37">
        <v>0</v>
      </c>
      <c r="Y183" s="37">
        <v>0</v>
      </c>
      <c r="Z183" s="37">
        <v>0</v>
      </c>
      <c r="AA183" s="37">
        <v>0</v>
      </c>
      <c r="AB183" s="38">
        <v>0</v>
      </c>
      <c r="AC183" s="38">
        <v>0</v>
      </c>
      <c r="AD183" s="38">
        <v>0</v>
      </c>
      <c r="AE183" s="38">
        <v>0</v>
      </c>
      <c r="AF183" s="38">
        <v>0</v>
      </c>
      <c r="AG183" s="36">
        <f t="shared" ref="AG183:AG194" si="89">IF($AG$100=5,SUM(AB183:AF183),IF($AG$100=4,SUM(AB183:AE183),IF($AG$100=3,SUM(AB183:AD183),IF($AG$100=2,SUM(AB183:AC183),AB183))))/$AG$100</f>
        <v>0</v>
      </c>
      <c r="AI183" s="56"/>
      <c r="AJ183" s="56"/>
      <c r="AK183" s="56"/>
      <c r="AL183" s="56"/>
      <c r="AM183" s="79">
        <f t="shared" si="67"/>
        <v>0</v>
      </c>
      <c r="AN183" s="79">
        <f t="shared" si="68"/>
        <v>0</v>
      </c>
      <c r="AO183" s="79">
        <f t="shared" si="69"/>
        <v>0</v>
      </c>
      <c r="AP183" s="79">
        <f t="shared" si="70"/>
        <v>0</v>
      </c>
      <c r="AQ183" s="79">
        <f t="shared" si="69"/>
        <v>0</v>
      </c>
      <c r="AR183" s="79">
        <f t="shared" si="70"/>
        <v>0</v>
      </c>
      <c r="AS183" s="79">
        <f t="shared" si="71"/>
        <v>0</v>
      </c>
      <c r="AT183" s="79">
        <f t="shared" si="72"/>
        <v>0</v>
      </c>
      <c r="AU183" s="79">
        <f t="shared" si="73"/>
        <v>0</v>
      </c>
      <c r="AV183" s="79">
        <f t="shared" si="74"/>
        <v>0</v>
      </c>
      <c r="AW183" s="79">
        <f t="shared" si="75"/>
        <v>0</v>
      </c>
      <c r="AX183" s="79">
        <f t="shared" si="76"/>
        <v>0</v>
      </c>
      <c r="AY183" s="79">
        <f t="shared" si="77"/>
        <v>0</v>
      </c>
      <c r="AZ183" s="79">
        <f t="shared" si="78"/>
        <v>0</v>
      </c>
      <c r="BA183" s="79">
        <f t="shared" si="79"/>
        <v>0</v>
      </c>
      <c r="BB183" s="79">
        <f t="shared" si="80"/>
        <v>0</v>
      </c>
      <c r="BC183" s="79">
        <f t="shared" si="79"/>
        <v>0</v>
      </c>
      <c r="BD183" s="79">
        <f t="shared" si="80"/>
        <v>0</v>
      </c>
      <c r="BE183" s="79">
        <f t="shared" si="81"/>
        <v>0</v>
      </c>
      <c r="BF183" s="79">
        <f t="shared" si="82"/>
        <v>0</v>
      </c>
      <c r="BG183" s="79">
        <f t="shared" si="83"/>
        <v>0</v>
      </c>
      <c r="BH183" s="79">
        <f t="shared" si="84"/>
        <v>0</v>
      </c>
      <c r="BI183" s="79">
        <f t="shared" si="85"/>
        <v>0</v>
      </c>
      <c r="BJ183" s="79">
        <f t="shared" si="86"/>
        <v>0</v>
      </c>
      <c r="BK183" s="56"/>
      <c r="BL183" s="56"/>
    </row>
    <row r="184" spans="1:64" ht="55.2" x14ac:dyDescent="0.3">
      <c r="A184" s="12">
        <f>IF(ISBLANK($C184),"",MAX($A$95:$A183)+0.01)</f>
        <v>4.5999999999999872</v>
      </c>
      <c r="B184" s="65" t="s">
        <v>1473</v>
      </c>
      <c r="C184" s="66" t="s">
        <v>1534</v>
      </c>
      <c r="D184" s="44"/>
      <c r="E184" s="45" t="s">
        <v>91</v>
      </c>
      <c r="F184" s="44"/>
      <c r="G184" s="45"/>
      <c r="H184" s="46" t="str">
        <f t="shared" si="60"/>
        <v/>
      </c>
      <c r="I184" s="45"/>
      <c r="J184" s="46" t="str">
        <f t="shared" si="61"/>
        <v/>
      </c>
      <c r="K184" s="45"/>
      <c r="L184" s="46" t="str">
        <f t="shared" si="62"/>
        <v/>
      </c>
      <c r="M184" s="45"/>
      <c r="N184" s="46" t="str">
        <f t="shared" si="63"/>
        <v/>
      </c>
      <c r="O184" s="44"/>
      <c r="P184" s="45"/>
      <c r="Q184" s="46" t="str">
        <f t="shared" si="64"/>
        <v/>
      </c>
      <c r="R184" s="53" t="str">
        <f t="shared" si="65"/>
        <v>Wahl treffen</v>
      </c>
      <c r="S184" s="43"/>
      <c r="T184" s="43"/>
      <c r="U184" s="43"/>
      <c r="W184" s="37">
        <v>0</v>
      </c>
      <c r="X184" s="37">
        <v>0</v>
      </c>
      <c r="Y184" s="37">
        <v>0</v>
      </c>
      <c r="Z184" s="37">
        <v>0</v>
      </c>
      <c r="AA184" s="37">
        <v>0</v>
      </c>
      <c r="AB184" s="38">
        <v>0</v>
      </c>
      <c r="AC184" s="38">
        <v>0</v>
      </c>
      <c r="AD184" s="38">
        <v>0</v>
      </c>
      <c r="AE184" s="38">
        <v>0</v>
      </c>
      <c r="AF184" s="38">
        <v>0</v>
      </c>
      <c r="AG184" s="36">
        <f t="shared" si="89"/>
        <v>0</v>
      </c>
      <c r="AI184" s="56"/>
      <c r="AJ184" s="56"/>
      <c r="AK184" s="56"/>
      <c r="AL184" s="56"/>
      <c r="AM184" s="79">
        <f t="shared" si="67"/>
        <v>0</v>
      </c>
      <c r="AN184" s="79">
        <f t="shared" si="68"/>
        <v>0</v>
      </c>
      <c r="AO184" s="79">
        <f t="shared" si="69"/>
        <v>0</v>
      </c>
      <c r="AP184" s="79">
        <f t="shared" si="70"/>
        <v>0</v>
      </c>
      <c r="AQ184" s="79">
        <f t="shared" si="69"/>
        <v>0</v>
      </c>
      <c r="AR184" s="79">
        <f t="shared" si="70"/>
        <v>0</v>
      </c>
      <c r="AS184" s="79">
        <f t="shared" si="71"/>
        <v>0</v>
      </c>
      <c r="AT184" s="79">
        <f t="shared" si="72"/>
        <v>0</v>
      </c>
      <c r="AU184" s="79">
        <f t="shared" si="73"/>
        <v>0</v>
      </c>
      <c r="AV184" s="79">
        <f t="shared" si="74"/>
        <v>0</v>
      </c>
      <c r="AW184" s="79">
        <f t="shared" si="75"/>
        <v>0</v>
      </c>
      <c r="AX184" s="79">
        <f t="shared" si="76"/>
        <v>0</v>
      </c>
      <c r="AY184" s="79">
        <f t="shared" si="77"/>
        <v>0</v>
      </c>
      <c r="AZ184" s="79">
        <f t="shared" si="78"/>
        <v>0</v>
      </c>
      <c r="BA184" s="79">
        <f t="shared" si="79"/>
        <v>0</v>
      </c>
      <c r="BB184" s="79">
        <f t="shared" si="80"/>
        <v>0</v>
      </c>
      <c r="BC184" s="79">
        <f t="shared" si="79"/>
        <v>0</v>
      </c>
      <c r="BD184" s="79">
        <f t="shared" si="80"/>
        <v>0</v>
      </c>
      <c r="BE184" s="79">
        <f t="shared" si="81"/>
        <v>0</v>
      </c>
      <c r="BF184" s="79">
        <f t="shared" si="82"/>
        <v>0</v>
      </c>
      <c r="BG184" s="79">
        <f t="shared" si="83"/>
        <v>0</v>
      </c>
      <c r="BH184" s="79">
        <f t="shared" si="84"/>
        <v>0</v>
      </c>
      <c r="BI184" s="79">
        <f t="shared" si="85"/>
        <v>0</v>
      </c>
      <c r="BJ184" s="79">
        <f t="shared" si="86"/>
        <v>0</v>
      </c>
      <c r="BK184" s="56"/>
      <c r="BL184" s="56"/>
    </row>
    <row r="185" spans="1:64" ht="82.8" x14ac:dyDescent="0.3">
      <c r="A185" s="12">
        <f>IF(ISBLANK($C185),"",MAX($A$95:$A184)+0.01)</f>
        <v>4.609999999999987</v>
      </c>
      <c r="B185" s="65" t="s">
        <v>1473</v>
      </c>
      <c r="C185" s="66" t="s">
        <v>1535</v>
      </c>
      <c r="D185" s="44"/>
      <c r="E185" s="45" t="s">
        <v>91</v>
      </c>
      <c r="F185" s="44"/>
      <c r="G185" s="45"/>
      <c r="H185" s="46" t="str">
        <f t="shared" si="60"/>
        <v/>
      </c>
      <c r="I185" s="45"/>
      <c r="J185" s="46" t="str">
        <f t="shared" si="61"/>
        <v/>
      </c>
      <c r="K185" s="45"/>
      <c r="L185" s="46" t="str">
        <f t="shared" si="62"/>
        <v/>
      </c>
      <c r="M185" s="45"/>
      <c r="N185" s="46" t="str">
        <f t="shared" si="63"/>
        <v/>
      </c>
      <c r="O185" s="44"/>
      <c r="P185" s="45"/>
      <c r="Q185" s="46" t="str">
        <f t="shared" si="64"/>
        <v/>
      </c>
      <c r="R185" s="53" t="str">
        <f t="shared" si="65"/>
        <v>Wahl treffen</v>
      </c>
      <c r="S185" s="43"/>
      <c r="T185" s="43"/>
      <c r="U185" s="43"/>
      <c r="W185" s="37">
        <v>0</v>
      </c>
      <c r="X185" s="37">
        <v>0</v>
      </c>
      <c r="Y185" s="37">
        <v>0</v>
      </c>
      <c r="Z185" s="37">
        <v>0</v>
      </c>
      <c r="AA185" s="37">
        <v>0</v>
      </c>
      <c r="AB185" s="38">
        <v>0</v>
      </c>
      <c r="AC185" s="38">
        <v>0</v>
      </c>
      <c r="AD185" s="38">
        <v>0</v>
      </c>
      <c r="AE185" s="38">
        <v>0</v>
      </c>
      <c r="AF185" s="38">
        <v>0</v>
      </c>
      <c r="AG185" s="36">
        <f t="shared" si="89"/>
        <v>0</v>
      </c>
      <c r="AI185" s="56"/>
      <c r="AJ185" s="56"/>
      <c r="AK185" s="56"/>
      <c r="AL185" s="56"/>
      <c r="AM185" s="79">
        <f t="shared" si="67"/>
        <v>0</v>
      </c>
      <c r="AN185" s="79">
        <f t="shared" si="68"/>
        <v>0</v>
      </c>
      <c r="AO185" s="79">
        <f t="shared" si="69"/>
        <v>0</v>
      </c>
      <c r="AP185" s="79">
        <f t="shared" si="70"/>
        <v>0</v>
      </c>
      <c r="AQ185" s="79">
        <f t="shared" si="69"/>
        <v>0</v>
      </c>
      <c r="AR185" s="79">
        <f t="shared" si="70"/>
        <v>0</v>
      </c>
      <c r="AS185" s="79">
        <f t="shared" si="71"/>
        <v>0</v>
      </c>
      <c r="AT185" s="79">
        <f t="shared" si="72"/>
        <v>0</v>
      </c>
      <c r="AU185" s="79">
        <f t="shared" si="73"/>
        <v>0</v>
      </c>
      <c r="AV185" s="79">
        <f t="shared" si="74"/>
        <v>0</v>
      </c>
      <c r="AW185" s="79">
        <f t="shared" si="75"/>
        <v>0</v>
      </c>
      <c r="AX185" s="79">
        <f t="shared" si="76"/>
        <v>0</v>
      </c>
      <c r="AY185" s="79">
        <f t="shared" si="77"/>
        <v>0</v>
      </c>
      <c r="AZ185" s="79">
        <f t="shared" si="78"/>
        <v>0</v>
      </c>
      <c r="BA185" s="79">
        <f t="shared" si="79"/>
        <v>0</v>
      </c>
      <c r="BB185" s="79">
        <f t="shared" si="80"/>
        <v>0</v>
      </c>
      <c r="BC185" s="79">
        <f t="shared" si="79"/>
        <v>0</v>
      </c>
      <c r="BD185" s="79">
        <f t="shared" si="80"/>
        <v>0</v>
      </c>
      <c r="BE185" s="79">
        <f t="shared" si="81"/>
        <v>0</v>
      </c>
      <c r="BF185" s="79">
        <f t="shared" si="82"/>
        <v>0</v>
      </c>
      <c r="BG185" s="79">
        <f t="shared" si="83"/>
        <v>0</v>
      </c>
      <c r="BH185" s="79">
        <f t="shared" si="84"/>
        <v>0</v>
      </c>
      <c r="BI185" s="79">
        <f t="shared" si="85"/>
        <v>0</v>
      </c>
      <c r="BJ185" s="79">
        <f t="shared" si="86"/>
        <v>0</v>
      </c>
      <c r="BK185" s="56"/>
      <c r="BL185" s="56"/>
    </row>
    <row r="186" spans="1:64" ht="69" x14ac:dyDescent="0.3">
      <c r="A186" s="12">
        <f>IF(ISBLANK($C186),"",MAX($A$95:$A185)+0.01)</f>
        <v>4.6199999999999868</v>
      </c>
      <c r="B186" s="65" t="s">
        <v>1517</v>
      </c>
      <c r="C186" s="66" t="s">
        <v>1537</v>
      </c>
      <c r="D186" s="44"/>
      <c r="E186" s="45" t="s">
        <v>91</v>
      </c>
      <c r="F186" s="44"/>
      <c r="G186" s="45"/>
      <c r="H186" s="46" t="str">
        <f t="shared" si="60"/>
        <v/>
      </c>
      <c r="I186" s="45"/>
      <c r="J186" s="46" t="str">
        <f t="shared" si="61"/>
        <v/>
      </c>
      <c r="K186" s="45"/>
      <c r="L186" s="46" t="str">
        <f t="shared" si="62"/>
        <v/>
      </c>
      <c r="M186" s="45"/>
      <c r="N186" s="46" t="str">
        <f t="shared" si="63"/>
        <v/>
      </c>
      <c r="O186" s="44"/>
      <c r="P186" s="45"/>
      <c r="Q186" s="46" t="str">
        <f t="shared" si="64"/>
        <v/>
      </c>
      <c r="R186" s="53" t="str">
        <f t="shared" si="65"/>
        <v>Wahl treffen</v>
      </c>
      <c r="S186" s="43"/>
      <c r="T186" s="43"/>
      <c r="U186" s="43"/>
      <c r="W186" s="37">
        <v>0</v>
      </c>
      <c r="X186" s="37">
        <v>0</v>
      </c>
      <c r="Y186" s="37">
        <v>0</v>
      </c>
      <c r="Z186" s="37">
        <v>0</v>
      </c>
      <c r="AA186" s="37">
        <v>0</v>
      </c>
      <c r="AB186" s="38">
        <v>0</v>
      </c>
      <c r="AC186" s="38">
        <v>0</v>
      </c>
      <c r="AD186" s="38">
        <v>0</v>
      </c>
      <c r="AE186" s="38">
        <v>0</v>
      </c>
      <c r="AF186" s="38">
        <v>0</v>
      </c>
      <c r="AG186" s="36">
        <f t="shared" si="89"/>
        <v>0</v>
      </c>
      <c r="AI186" s="56"/>
      <c r="AJ186" s="56"/>
      <c r="AK186" s="56"/>
      <c r="AL186" s="56"/>
      <c r="AM186" s="79">
        <f t="shared" si="67"/>
        <v>0</v>
      </c>
      <c r="AN186" s="79">
        <f t="shared" si="68"/>
        <v>0</v>
      </c>
      <c r="AO186" s="79">
        <f t="shared" si="69"/>
        <v>0</v>
      </c>
      <c r="AP186" s="79">
        <f t="shared" si="70"/>
        <v>0</v>
      </c>
      <c r="AQ186" s="79">
        <f t="shared" si="69"/>
        <v>0</v>
      </c>
      <c r="AR186" s="79">
        <f t="shared" si="70"/>
        <v>0</v>
      </c>
      <c r="AS186" s="79">
        <f t="shared" si="71"/>
        <v>0</v>
      </c>
      <c r="AT186" s="79">
        <f t="shared" si="72"/>
        <v>0</v>
      </c>
      <c r="AU186" s="79">
        <f t="shared" si="73"/>
        <v>0</v>
      </c>
      <c r="AV186" s="79">
        <f t="shared" si="74"/>
        <v>0</v>
      </c>
      <c r="AW186" s="79">
        <f t="shared" si="75"/>
        <v>0</v>
      </c>
      <c r="AX186" s="79">
        <f t="shared" si="76"/>
        <v>0</v>
      </c>
      <c r="AY186" s="79">
        <f t="shared" si="77"/>
        <v>0</v>
      </c>
      <c r="AZ186" s="79">
        <f t="shared" si="78"/>
        <v>0</v>
      </c>
      <c r="BA186" s="79">
        <f t="shared" si="79"/>
        <v>0</v>
      </c>
      <c r="BB186" s="79">
        <f t="shared" si="80"/>
        <v>0</v>
      </c>
      <c r="BC186" s="79">
        <f t="shared" si="79"/>
        <v>0</v>
      </c>
      <c r="BD186" s="79">
        <f t="shared" si="80"/>
        <v>0</v>
      </c>
      <c r="BE186" s="79">
        <f t="shared" si="81"/>
        <v>0</v>
      </c>
      <c r="BF186" s="79">
        <f t="shared" si="82"/>
        <v>0</v>
      </c>
      <c r="BG186" s="79">
        <f t="shared" si="83"/>
        <v>0</v>
      </c>
      <c r="BH186" s="79">
        <f t="shared" si="84"/>
        <v>0</v>
      </c>
      <c r="BI186" s="79">
        <f t="shared" si="85"/>
        <v>0</v>
      </c>
      <c r="BJ186" s="79">
        <f t="shared" si="86"/>
        <v>0</v>
      </c>
      <c r="BK186" s="56"/>
      <c r="BL186" s="56"/>
    </row>
    <row r="187" spans="1:64" ht="55.2" x14ac:dyDescent="0.3">
      <c r="A187" s="12">
        <f>IF(ISBLANK($C187),"",MAX($A$95:$A186)+0.01)</f>
        <v>4.6299999999999866</v>
      </c>
      <c r="B187" s="65" t="s">
        <v>1473</v>
      </c>
      <c r="C187" s="66" t="s">
        <v>1538</v>
      </c>
      <c r="D187" s="44"/>
      <c r="E187" s="45" t="s">
        <v>91</v>
      </c>
      <c r="F187" s="44"/>
      <c r="G187" s="45"/>
      <c r="H187" s="46" t="str">
        <f t="shared" si="60"/>
        <v/>
      </c>
      <c r="I187" s="45"/>
      <c r="J187" s="46" t="str">
        <f t="shared" si="61"/>
        <v/>
      </c>
      <c r="K187" s="45"/>
      <c r="L187" s="46" t="str">
        <f t="shared" si="62"/>
        <v/>
      </c>
      <c r="M187" s="45"/>
      <c r="N187" s="46" t="str">
        <f t="shared" si="63"/>
        <v/>
      </c>
      <c r="O187" s="44"/>
      <c r="P187" s="45"/>
      <c r="Q187" s="46" t="str">
        <f t="shared" si="64"/>
        <v/>
      </c>
      <c r="R187" s="53" t="str">
        <f t="shared" si="65"/>
        <v>Wahl treffen</v>
      </c>
      <c r="S187" s="43"/>
      <c r="T187" s="43"/>
      <c r="U187" s="43"/>
      <c r="W187" s="37">
        <v>0</v>
      </c>
      <c r="X187" s="37">
        <v>0</v>
      </c>
      <c r="Y187" s="37">
        <v>0</v>
      </c>
      <c r="Z187" s="37">
        <v>0</v>
      </c>
      <c r="AA187" s="37">
        <v>0</v>
      </c>
      <c r="AB187" s="38">
        <v>0</v>
      </c>
      <c r="AC187" s="38">
        <v>0</v>
      </c>
      <c r="AD187" s="38">
        <v>0</v>
      </c>
      <c r="AE187" s="38">
        <v>0</v>
      </c>
      <c r="AF187" s="38">
        <v>0</v>
      </c>
      <c r="AG187" s="36">
        <f t="shared" si="89"/>
        <v>0</v>
      </c>
      <c r="AI187" s="56"/>
      <c r="AJ187" s="56"/>
      <c r="AK187" s="56"/>
      <c r="AL187" s="56"/>
      <c r="AM187" s="79">
        <f t="shared" si="67"/>
        <v>0</v>
      </c>
      <c r="AN187" s="79">
        <f t="shared" si="68"/>
        <v>0</v>
      </c>
      <c r="AO187" s="79">
        <f t="shared" si="69"/>
        <v>0</v>
      </c>
      <c r="AP187" s="79">
        <f t="shared" si="70"/>
        <v>0</v>
      </c>
      <c r="AQ187" s="79">
        <f t="shared" si="69"/>
        <v>0</v>
      </c>
      <c r="AR187" s="79">
        <f t="shared" si="70"/>
        <v>0</v>
      </c>
      <c r="AS187" s="79">
        <f t="shared" si="71"/>
        <v>0</v>
      </c>
      <c r="AT187" s="79">
        <f t="shared" si="72"/>
        <v>0</v>
      </c>
      <c r="AU187" s="79">
        <f t="shared" si="73"/>
        <v>0</v>
      </c>
      <c r="AV187" s="79">
        <f t="shared" si="74"/>
        <v>0</v>
      </c>
      <c r="AW187" s="79">
        <f t="shared" si="75"/>
        <v>0</v>
      </c>
      <c r="AX187" s="79">
        <f t="shared" si="76"/>
        <v>0</v>
      </c>
      <c r="AY187" s="79">
        <f t="shared" si="77"/>
        <v>0</v>
      </c>
      <c r="AZ187" s="79">
        <f t="shared" si="78"/>
        <v>0</v>
      </c>
      <c r="BA187" s="79">
        <f t="shared" si="79"/>
        <v>0</v>
      </c>
      <c r="BB187" s="79">
        <f t="shared" si="80"/>
        <v>0</v>
      </c>
      <c r="BC187" s="79">
        <f t="shared" si="79"/>
        <v>0</v>
      </c>
      <c r="BD187" s="79">
        <f t="shared" si="80"/>
        <v>0</v>
      </c>
      <c r="BE187" s="79">
        <f t="shared" si="81"/>
        <v>0</v>
      </c>
      <c r="BF187" s="79">
        <f t="shared" si="82"/>
        <v>0</v>
      </c>
      <c r="BG187" s="79">
        <f t="shared" si="83"/>
        <v>0</v>
      </c>
      <c r="BH187" s="79">
        <f t="shared" si="84"/>
        <v>0</v>
      </c>
      <c r="BI187" s="79">
        <f t="shared" si="85"/>
        <v>0</v>
      </c>
      <c r="BJ187" s="79">
        <f t="shared" si="86"/>
        <v>0</v>
      </c>
      <c r="BK187" s="56"/>
      <c r="BL187" s="56"/>
    </row>
    <row r="188" spans="1:64" ht="82.8" x14ac:dyDescent="0.3">
      <c r="A188" s="12">
        <f>IF(ISBLANK($C188),"",MAX($A$95:$A187)+0.01)</f>
        <v>4.6399999999999864</v>
      </c>
      <c r="B188" s="65" t="s">
        <v>1445</v>
      </c>
      <c r="C188" s="66" t="s">
        <v>1539</v>
      </c>
      <c r="D188" s="44"/>
      <c r="E188" s="45" t="s">
        <v>91</v>
      </c>
      <c r="F188" s="44"/>
      <c r="G188" s="45"/>
      <c r="H188" s="46" t="str">
        <f t="shared" si="60"/>
        <v/>
      </c>
      <c r="I188" s="45"/>
      <c r="J188" s="46" t="str">
        <f t="shared" si="61"/>
        <v/>
      </c>
      <c r="K188" s="45"/>
      <c r="L188" s="46" t="str">
        <f t="shared" si="62"/>
        <v/>
      </c>
      <c r="M188" s="45"/>
      <c r="N188" s="46" t="str">
        <f t="shared" si="63"/>
        <v/>
      </c>
      <c r="O188" s="44"/>
      <c r="P188" s="45"/>
      <c r="Q188" s="46" t="str">
        <f t="shared" si="64"/>
        <v/>
      </c>
      <c r="R188" s="53" t="str">
        <f t="shared" si="65"/>
        <v/>
      </c>
      <c r="S188" s="43"/>
      <c r="T188" s="43"/>
      <c r="U188" s="43"/>
      <c r="W188" s="37">
        <v>0</v>
      </c>
      <c r="X188" s="37">
        <v>0</v>
      </c>
      <c r="Y188" s="37">
        <v>0</v>
      </c>
      <c r="Z188" s="37">
        <v>0</v>
      </c>
      <c r="AA188" s="37">
        <v>0</v>
      </c>
      <c r="AB188" s="38">
        <v>0</v>
      </c>
      <c r="AC188" s="38">
        <v>0</v>
      </c>
      <c r="AD188" s="38">
        <v>0</v>
      </c>
      <c r="AE188" s="38">
        <v>0</v>
      </c>
      <c r="AF188" s="38">
        <v>0</v>
      </c>
      <c r="AG188" s="36">
        <f t="shared" si="89"/>
        <v>0</v>
      </c>
      <c r="AI188" s="56"/>
      <c r="AJ188" s="56"/>
      <c r="AK188" s="56"/>
      <c r="AL188" s="56"/>
      <c r="AM188" s="79">
        <f t="shared" si="67"/>
        <v>0</v>
      </c>
      <c r="AN188" s="79">
        <f t="shared" si="68"/>
        <v>0</v>
      </c>
      <c r="AO188" s="79">
        <f t="shared" si="69"/>
        <v>0</v>
      </c>
      <c r="AP188" s="79">
        <f t="shared" si="70"/>
        <v>0</v>
      </c>
      <c r="AQ188" s="79">
        <f t="shared" si="69"/>
        <v>0</v>
      </c>
      <c r="AR188" s="79">
        <f t="shared" si="70"/>
        <v>0</v>
      </c>
      <c r="AS188" s="79">
        <f t="shared" si="71"/>
        <v>0</v>
      </c>
      <c r="AT188" s="79">
        <f t="shared" si="72"/>
        <v>0</v>
      </c>
      <c r="AU188" s="79">
        <f t="shared" si="73"/>
        <v>0</v>
      </c>
      <c r="AV188" s="79">
        <f t="shared" si="74"/>
        <v>0</v>
      </c>
      <c r="AW188" s="79">
        <f t="shared" si="75"/>
        <v>0</v>
      </c>
      <c r="AX188" s="79">
        <f t="shared" si="76"/>
        <v>0</v>
      </c>
      <c r="AY188" s="79">
        <f t="shared" si="77"/>
        <v>0</v>
      </c>
      <c r="AZ188" s="79">
        <f t="shared" si="78"/>
        <v>0</v>
      </c>
      <c r="BA188" s="79">
        <f t="shared" si="79"/>
        <v>0</v>
      </c>
      <c r="BB188" s="79">
        <f t="shared" si="80"/>
        <v>0</v>
      </c>
      <c r="BC188" s="79">
        <f t="shared" si="79"/>
        <v>0</v>
      </c>
      <c r="BD188" s="79">
        <f t="shared" si="80"/>
        <v>0</v>
      </c>
      <c r="BE188" s="79">
        <f t="shared" si="81"/>
        <v>0</v>
      </c>
      <c r="BF188" s="79">
        <f t="shared" si="82"/>
        <v>0</v>
      </c>
      <c r="BG188" s="79">
        <f t="shared" si="83"/>
        <v>0</v>
      </c>
      <c r="BH188" s="79">
        <f t="shared" si="84"/>
        <v>0</v>
      </c>
      <c r="BI188" s="79">
        <f t="shared" si="85"/>
        <v>0</v>
      </c>
      <c r="BJ188" s="79">
        <f t="shared" si="86"/>
        <v>0</v>
      </c>
      <c r="BK188" s="56"/>
      <c r="BL188" s="56"/>
    </row>
    <row r="189" spans="1:64" ht="69" x14ac:dyDescent="0.3">
      <c r="A189" s="12">
        <f>IF(ISBLANK($C189),"",MAX($A$95:$A188)+0.01)</f>
        <v>4.6499999999999861</v>
      </c>
      <c r="B189" s="65" t="s">
        <v>1445</v>
      </c>
      <c r="C189" s="66" t="s">
        <v>1540</v>
      </c>
      <c r="D189" s="44"/>
      <c r="E189" s="45" t="s">
        <v>91</v>
      </c>
      <c r="F189" s="44"/>
      <c r="G189" s="45"/>
      <c r="H189" s="46" t="str">
        <f t="shared" si="60"/>
        <v/>
      </c>
      <c r="I189" s="45"/>
      <c r="J189" s="46" t="str">
        <f t="shared" si="61"/>
        <v/>
      </c>
      <c r="K189" s="45"/>
      <c r="L189" s="46" t="str">
        <f t="shared" si="62"/>
        <v/>
      </c>
      <c r="M189" s="45"/>
      <c r="N189" s="46" t="str">
        <f t="shared" si="63"/>
        <v/>
      </c>
      <c r="O189" s="44"/>
      <c r="P189" s="45"/>
      <c r="Q189" s="46" t="str">
        <f t="shared" si="64"/>
        <v/>
      </c>
      <c r="R189" s="53" t="str">
        <f t="shared" si="65"/>
        <v/>
      </c>
      <c r="S189" s="43"/>
      <c r="T189" s="43"/>
      <c r="U189" s="43"/>
      <c r="W189" s="37">
        <v>0</v>
      </c>
      <c r="X189" s="37">
        <v>0</v>
      </c>
      <c r="Y189" s="37">
        <v>0</v>
      </c>
      <c r="Z189" s="37">
        <v>0</v>
      </c>
      <c r="AA189" s="37">
        <v>0</v>
      </c>
      <c r="AB189" s="38">
        <v>0</v>
      </c>
      <c r="AC189" s="38">
        <v>0</v>
      </c>
      <c r="AD189" s="38">
        <v>0</v>
      </c>
      <c r="AE189" s="38">
        <v>0</v>
      </c>
      <c r="AF189" s="38">
        <v>0</v>
      </c>
      <c r="AG189" s="36">
        <f t="shared" si="89"/>
        <v>0</v>
      </c>
      <c r="AI189" s="56"/>
      <c r="AJ189" s="56"/>
      <c r="AK189" s="56"/>
      <c r="AL189" s="56"/>
      <c r="AM189" s="79">
        <f t="shared" si="67"/>
        <v>0</v>
      </c>
      <c r="AN189" s="79">
        <f t="shared" si="68"/>
        <v>0</v>
      </c>
      <c r="AO189" s="79">
        <f t="shared" si="69"/>
        <v>0</v>
      </c>
      <c r="AP189" s="79">
        <f t="shared" si="70"/>
        <v>0</v>
      </c>
      <c r="AQ189" s="79">
        <f t="shared" si="69"/>
        <v>0</v>
      </c>
      <c r="AR189" s="79">
        <f t="shared" si="70"/>
        <v>0</v>
      </c>
      <c r="AS189" s="79">
        <f t="shared" si="71"/>
        <v>0</v>
      </c>
      <c r="AT189" s="79">
        <f t="shared" si="72"/>
        <v>0</v>
      </c>
      <c r="AU189" s="79">
        <f t="shared" si="73"/>
        <v>0</v>
      </c>
      <c r="AV189" s="79">
        <f t="shared" si="74"/>
        <v>0</v>
      </c>
      <c r="AW189" s="79">
        <f t="shared" si="75"/>
        <v>0</v>
      </c>
      <c r="AX189" s="79">
        <f t="shared" si="76"/>
        <v>0</v>
      </c>
      <c r="AY189" s="79">
        <f t="shared" si="77"/>
        <v>0</v>
      </c>
      <c r="AZ189" s="79">
        <f t="shared" si="78"/>
        <v>0</v>
      </c>
      <c r="BA189" s="79">
        <f t="shared" si="79"/>
        <v>0</v>
      </c>
      <c r="BB189" s="79">
        <f t="shared" si="80"/>
        <v>0</v>
      </c>
      <c r="BC189" s="79">
        <f t="shared" si="79"/>
        <v>0</v>
      </c>
      <c r="BD189" s="79">
        <f t="shared" si="80"/>
        <v>0</v>
      </c>
      <c r="BE189" s="79">
        <f t="shared" si="81"/>
        <v>0</v>
      </c>
      <c r="BF189" s="79">
        <f t="shared" si="82"/>
        <v>0</v>
      </c>
      <c r="BG189" s="79">
        <f t="shared" si="83"/>
        <v>0</v>
      </c>
      <c r="BH189" s="79">
        <f t="shared" si="84"/>
        <v>0</v>
      </c>
      <c r="BI189" s="79">
        <f t="shared" si="85"/>
        <v>0</v>
      </c>
      <c r="BJ189" s="79">
        <f t="shared" si="86"/>
        <v>0</v>
      </c>
      <c r="BK189" s="56"/>
      <c r="BL189" s="56"/>
    </row>
    <row r="190" spans="1:64" ht="55.2" x14ac:dyDescent="0.3">
      <c r="A190" s="12">
        <f>IF(ISBLANK($C190),"",MAX($A$95:$A189)+0.01)</f>
        <v>4.6599999999999859</v>
      </c>
      <c r="B190" s="65" t="s">
        <v>1445</v>
      </c>
      <c r="C190" s="66" t="s">
        <v>1541</v>
      </c>
      <c r="D190" s="44"/>
      <c r="E190" s="45" t="s">
        <v>91</v>
      </c>
      <c r="F190" s="44"/>
      <c r="G190" s="45"/>
      <c r="H190" s="46" t="str">
        <f t="shared" si="60"/>
        <v/>
      </c>
      <c r="I190" s="45"/>
      <c r="J190" s="46" t="str">
        <f t="shared" si="61"/>
        <v/>
      </c>
      <c r="K190" s="45"/>
      <c r="L190" s="46" t="str">
        <f t="shared" si="62"/>
        <v/>
      </c>
      <c r="M190" s="45"/>
      <c r="N190" s="46" t="str">
        <f t="shared" si="63"/>
        <v/>
      </c>
      <c r="O190" s="44"/>
      <c r="P190" s="45"/>
      <c r="Q190" s="46" t="str">
        <f t="shared" si="64"/>
        <v/>
      </c>
      <c r="R190" s="53" t="str">
        <f t="shared" si="65"/>
        <v/>
      </c>
      <c r="S190" s="43"/>
      <c r="T190" s="43"/>
      <c r="U190" s="43"/>
      <c r="W190" s="37">
        <v>0</v>
      </c>
      <c r="X190" s="37">
        <v>0</v>
      </c>
      <c r="Y190" s="37">
        <v>0</v>
      </c>
      <c r="Z190" s="37">
        <v>0</v>
      </c>
      <c r="AA190" s="37">
        <v>0</v>
      </c>
      <c r="AB190" s="38">
        <v>0</v>
      </c>
      <c r="AC190" s="38">
        <v>0</v>
      </c>
      <c r="AD190" s="38">
        <v>0</v>
      </c>
      <c r="AE190" s="38">
        <v>0</v>
      </c>
      <c r="AF190" s="38">
        <v>0</v>
      </c>
      <c r="AG190" s="36">
        <f t="shared" si="89"/>
        <v>0</v>
      </c>
      <c r="AH190" s="56"/>
      <c r="AI190" s="56"/>
      <c r="AJ190" s="56"/>
      <c r="AK190" s="56"/>
      <c r="AL190" s="56"/>
      <c r="AM190" s="79">
        <f t="shared" si="67"/>
        <v>0</v>
      </c>
      <c r="AN190" s="79">
        <f t="shared" si="68"/>
        <v>0</v>
      </c>
      <c r="AO190" s="79">
        <f t="shared" si="69"/>
        <v>0</v>
      </c>
      <c r="AP190" s="79">
        <f t="shared" si="70"/>
        <v>0</v>
      </c>
      <c r="AQ190" s="79">
        <f t="shared" si="69"/>
        <v>0</v>
      </c>
      <c r="AR190" s="79">
        <f t="shared" si="70"/>
        <v>0</v>
      </c>
      <c r="AS190" s="79">
        <f t="shared" si="71"/>
        <v>0</v>
      </c>
      <c r="AT190" s="79">
        <f t="shared" si="72"/>
        <v>0</v>
      </c>
      <c r="AU190" s="79">
        <f t="shared" si="73"/>
        <v>0</v>
      </c>
      <c r="AV190" s="79">
        <f t="shared" si="74"/>
        <v>0</v>
      </c>
      <c r="AW190" s="79">
        <f t="shared" si="75"/>
        <v>0</v>
      </c>
      <c r="AX190" s="79">
        <f t="shared" si="76"/>
        <v>0</v>
      </c>
      <c r="AY190" s="79">
        <f t="shared" si="77"/>
        <v>0</v>
      </c>
      <c r="AZ190" s="79">
        <f t="shared" si="78"/>
        <v>0</v>
      </c>
      <c r="BA190" s="79">
        <f t="shared" si="79"/>
        <v>0</v>
      </c>
      <c r="BB190" s="79">
        <f t="shared" si="80"/>
        <v>0</v>
      </c>
      <c r="BC190" s="79">
        <f t="shared" si="79"/>
        <v>0</v>
      </c>
      <c r="BD190" s="79">
        <f t="shared" si="80"/>
        <v>0</v>
      </c>
      <c r="BE190" s="79">
        <f t="shared" si="81"/>
        <v>0</v>
      </c>
      <c r="BF190" s="79">
        <f t="shared" si="82"/>
        <v>0</v>
      </c>
      <c r="BG190" s="79">
        <f t="shared" si="83"/>
        <v>0</v>
      </c>
      <c r="BH190" s="79">
        <f t="shared" si="84"/>
        <v>0</v>
      </c>
      <c r="BI190" s="79">
        <f t="shared" si="85"/>
        <v>0</v>
      </c>
      <c r="BJ190" s="79">
        <f t="shared" si="86"/>
        <v>0</v>
      </c>
      <c r="BK190" s="56"/>
      <c r="BL190" s="56"/>
    </row>
    <row r="191" spans="1:64" x14ac:dyDescent="0.3">
      <c r="A191" s="12" t="str">
        <f>IF(ISBLANK($C191),"",MAX($A$95:$A190)+0.01)</f>
        <v/>
      </c>
      <c r="B191" s="51"/>
      <c r="C191" s="44"/>
      <c r="D191" s="44"/>
      <c r="E191" s="45"/>
      <c r="F191" s="44"/>
      <c r="G191" s="45"/>
      <c r="H191" s="46" t="str">
        <f t="shared" si="60"/>
        <v/>
      </c>
      <c r="I191" s="45"/>
      <c r="J191" s="46" t="str">
        <f t="shared" si="61"/>
        <v/>
      </c>
      <c r="K191" s="45"/>
      <c r="L191" s="46" t="str">
        <f t="shared" si="62"/>
        <v/>
      </c>
      <c r="M191" s="45"/>
      <c r="N191" s="46" t="str">
        <f t="shared" si="63"/>
        <v/>
      </c>
      <c r="O191" s="44"/>
      <c r="P191" s="45"/>
      <c r="Q191" s="46" t="str">
        <f t="shared" si="64"/>
        <v/>
      </c>
      <c r="R191" s="53" t="str">
        <f t="shared" si="65"/>
        <v/>
      </c>
      <c r="S191" s="43"/>
      <c r="T191" s="43"/>
      <c r="U191" s="43"/>
      <c r="W191" s="37">
        <v>0</v>
      </c>
      <c r="X191" s="37">
        <v>0</v>
      </c>
      <c r="Y191" s="37">
        <v>0</v>
      </c>
      <c r="Z191" s="37">
        <v>0</v>
      </c>
      <c r="AA191" s="37">
        <v>0</v>
      </c>
      <c r="AB191" s="38">
        <v>0</v>
      </c>
      <c r="AC191" s="38">
        <v>0</v>
      </c>
      <c r="AD191" s="38">
        <v>0</v>
      </c>
      <c r="AE191" s="38">
        <v>0</v>
      </c>
      <c r="AF191" s="38">
        <v>0</v>
      </c>
      <c r="AG191" s="36">
        <f t="shared" si="89"/>
        <v>0</v>
      </c>
      <c r="AH191" s="56"/>
      <c r="AI191" s="56"/>
      <c r="AJ191" s="56"/>
      <c r="AK191" s="56"/>
      <c r="AL191" s="56"/>
      <c r="AM191" s="79">
        <f t="shared" si="67"/>
        <v>0</v>
      </c>
      <c r="AN191" s="79">
        <f t="shared" si="68"/>
        <v>0</v>
      </c>
      <c r="AO191" s="79">
        <f t="shared" si="69"/>
        <v>0</v>
      </c>
      <c r="AP191" s="79">
        <f t="shared" si="70"/>
        <v>0</v>
      </c>
      <c r="AQ191" s="79">
        <f t="shared" si="69"/>
        <v>0</v>
      </c>
      <c r="AR191" s="79">
        <f t="shared" si="70"/>
        <v>0</v>
      </c>
      <c r="AS191" s="79">
        <f t="shared" si="71"/>
        <v>0</v>
      </c>
      <c r="AT191" s="79">
        <f t="shared" si="72"/>
        <v>0</v>
      </c>
      <c r="AU191" s="79">
        <f t="shared" si="73"/>
        <v>0</v>
      </c>
      <c r="AV191" s="79">
        <f t="shared" si="74"/>
        <v>0</v>
      </c>
      <c r="AW191" s="79">
        <f t="shared" si="75"/>
        <v>0</v>
      </c>
      <c r="AX191" s="79">
        <f t="shared" si="76"/>
        <v>0</v>
      </c>
      <c r="AY191" s="79">
        <f t="shared" si="77"/>
        <v>0</v>
      </c>
      <c r="AZ191" s="79">
        <f t="shared" si="78"/>
        <v>0</v>
      </c>
      <c r="BA191" s="79">
        <f t="shared" si="79"/>
        <v>0</v>
      </c>
      <c r="BB191" s="79">
        <f t="shared" si="80"/>
        <v>0</v>
      </c>
      <c r="BC191" s="79">
        <f t="shared" si="79"/>
        <v>0</v>
      </c>
      <c r="BD191" s="79">
        <f t="shared" si="80"/>
        <v>0</v>
      </c>
      <c r="BE191" s="79">
        <f t="shared" si="81"/>
        <v>0</v>
      </c>
      <c r="BF191" s="79">
        <f t="shared" si="82"/>
        <v>0</v>
      </c>
      <c r="BG191" s="79">
        <f t="shared" si="83"/>
        <v>0</v>
      </c>
      <c r="BH191" s="79">
        <f t="shared" si="84"/>
        <v>0</v>
      </c>
      <c r="BI191" s="79">
        <f t="shared" si="85"/>
        <v>0</v>
      </c>
      <c r="BJ191" s="79">
        <f t="shared" si="86"/>
        <v>0</v>
      </c>
      <c r="BK191" s="56"/>
      <c r="BL191" s="56"/>
    </row>
    <row r="192" spans="1:64" x14ac:dyDescent="0.3">
      <c r="A192" s="12" t="str">
        <f>IF(ISBLANK($C192),"",MAX($A$95:$A191)+0.01)</f>
        <v/>
      </c>
      <c r="B192" s="51"/>
      <c r="C192" s="44"/>
      <c r="D192" s="44"/>
      <c r="E192" s="45"/>
      <c r="F192" s="44"/>
      <c r="G192" s="45"/>
      <c r="H192" s="46" t="str">
        <f t="shared" si="60"/>
        <v/>
      </c>
      <c r="I192" s="45"/>
      <c r="J192" s="46" t="str">
        <f t="shared" si="61"/>
        <v/>
      </c>
      <c r="K192" s="45"/>
      <c r="L192" s="46" t="str">
        <f t="shared" si="62"/>
        <v/>
      </c>
      <c r="M192" s="45"/>
      <c r="N192" s="46" t="str">
        <f t="shared" si="63"/>
        <v/>
      </c>
      <c r="O192" s="44"/>
      <c r="P192" s="45"/>
      <c r="Q192" s="46" t="str">
        <f t="shared" si="64"/>
        <v/>
      </c>
      <c r="R192" s="53" t="str">
        <f t="shared" si="65"/>
        <v/>
      </c>
      <c r="S192" s="43"/>
      <c r="T192" s="43"/>
      <c r="U192" s="43"/>
      <c r="W192" s="37">
        <v>0</v>
      </c>
      <c r="X192" s="37">
        <v>0</v>
      </c>
      <c r="Y192" s="37">
        <v>0</v>
      </c>
      <c r="Z192" s="37">
        <v>0</v>
      </c>
      <c r="AA192" s="37">
        <v>0</v>
      </c>
      <c r="AB192" s="38">
        <v>0</v>
      </c>
      <c r="AC192" s="38">
        <v>0</v>
      </c>
      <c r="AD192" s="38">
        <v>0</v>
      </c>
      <c r="AE192" s="38">
        <v>0</v>
      </c>
      <c r="AF192" s="38">
        <v>0</v>
      </c>
      <c r="AG192" s="36">
        <f t="shared" si="89"/>
        <v>0</v>
      </c>
      <c r="AH192" s="56"/>
      <c r="AI192" s="56"/>
      <c r="AJ192" s="56"/>
      <c r="AK192" s="56"/>
      <c r="AL192" s="56"/>
      <c r="AM192" s="79">
        <f t="shared" si="67"/>
        <v>0</v>
      </c>
      <c r="AN192" s="79">
        <f t="shared" si="68"/>
        <v>0</v>
      </c>
      <c r="AO192" s="79">
        <f t="shared" si="69"/>
        <v>0</v>
      </c>
      <c r="AP192" s="79">
        <f t="shared" si="70"/>
        <v>0</v>
      </c>
      <c r="AQ192" s="79">
        <f t="shared" si="69"/>
        <v>0</v>
      </c>
      <c r="AR192" s="79">
        <f t="shared" si="70"/>
        <v>0</v>
      </c>
      <c r="AS192" s="79">
        <f t="shared" si="71"/>
        <v>0</v>
      </c>
      <c r="AT192" s="79">
        <f t="shared" si="72"/>
        <v>0</v>
      </c>
      <c r="AU192" s="79">
        <f t="shared" si="73"/>
        <v>0</v>
      </c>
      <c r="AV192" s="79">
        <f t="shared" si="74"/>
        <v>0</v>
      </c>
      <c r="AW192" s="79">
        <f t="shared" si="75"/>
        <v>0</v>
      </c>
      <c r="AX192" s="79">
        <f t="shared" si="76"/>
        <v>0</v>
      </c>
      <c r="AY192" s="79">
        <f t="shared" si="77"/>
        <v>0</v>
      </c>
      <c r="AZ192" s="79">
        <f t="shared" si="78"/>
        <v>0</v>
      </c>
      <c r="BA192" s="79">
        <f t="shared" si="79"/>
        <v>0</v>
      </c>
      <c r="BB192" s="79">
        <f t="shared" si="80"/>
        <v>0</v>
      </c>
      <c r="BC192" s="79">
        <f t="shared" si="79"/>
        <v>0</v>
      </c>
      <c r="BD192" s="79">
        <f t="shared" si="80"/>
        <v>0</v>
      </c>
      <c r="BE192" s="79">
        <f t="shared" si="81"/>
        <v>0</v>
      </c>
      <c r="BF192" s="79">
        <f t="shared" si="82"/>
        <v>0</v>
      </c>
      <c r="BG192" s="79">
        <f t="shared" si="83"/>
        <v>0</v>
      </c>
      <c r="BH192" s="79">
        <f t="shared" si="84"/>
        <v>0</v>
      </c>
      <c r="BI192" s="79">
        <f t="shared" si="85"/>
        <v>0</v>
      </c>
      <c r="BJ192" s="79">
        <f t="shared" si="86"/>
        <v>0</v>
      </c>
      <c r="BK192" s="56"/>
      <c r="BL192" s="56"/>
    </row>
    <row r="193" spans="1:69" x14ac:dyDescent="0.3">
      <c r="A193" s="12" t="str">
        <f>IF(ISBLANK($C193),"",MAX($A$95:$A192)+0.01)</f>
        <v/>
      </c>
      <c r="B193" s="51"/>
      <c r="C193" s="44"/>
      <c r="D193" s="44"/>
      <c r="E193" s="45"/>
      <c r="F193" s="44"/>
      <c r="G193" s="45"/>
      <c r="H193" s="46" t="str">
        <f t="shared" si="60"/>
        <v/>
      </c>
      <c r="I193" s="45"/>
      <c r="J193" s="46" t="str">
        <f t="shared" si="61"/>
        <v/>
      </c>
      <c r="K193" s="45"/>
      <c r="L193" s="46" t="str">
        <f t="shared" si="62"/>
        <v/>
      </c>
      <c r="M193" s="45"/>
      <c r="N193" s="46" t="str">
        <f t="shared" si="63"/>
        <v/>
      </c>
      <c r="O193" s="44"/>
      <c r="P193" s="45"/>
      <c r="Q193" s="46" t="str">
        <f t="shared" si="64"/>
        <v/>
      </c>
      <c r="R193" s="53" t="str">
        <f t="shared" si="65"/>
        <v/>
      </c>
      <c r="S193" s="43"/>
      <c r="T193" s="43"/>
      <c r="U193" s="43"/>
      <c r="W193" s="37">
        <v>0</v>
      </c>
      <c r="X193" s="37">
        <v>0</v>
      </c>
      <c r="Y193" s="37">
        <v>0</v>
      </c>
      <c r="Z193" s="37">
        <v>0</v>
      </c>
      <c r="AA193" s="37">
        <v>0</v>
      </c>
      <c r="AB193" s="38">
        <v>0</v>
      </c>
      <c r="AC193" s="38">
        <v>0</v>
      </c>
      <c r="AD193" s="38">
        <v>0</v>
      </c>
      <c r="AE193" s="38">
        <v>0</v>
      </c>
      <c r="AF193" s="38">
        <v>0</v>
      </c>
      <c r="AG193" s="36">
        <f t="shared" si="89"/>
        <v>0</v>
      </c>
      <c r="AH193" s="56"/>
      <c r="AI193" s="56"/>
      <c r="AJ193" s="56"/>
      <c r="AK193" s="56"/>
      <c r="AL193" s="56"/>
      <c r="AM193" s="79">
        <f t="shared" si="67"/>
        <v>0</v>
      </c>
      <c r="AN193" s="79">
        <f t="shared" si="68"/>
        <v>0</v>
      </c>
      <c r="AO193" s="79">
        <f t="shared" si="69"/>
        <v>0</v>
      </c>
      <c r="AP193" s="79">
        <f t="shared" si="70"/>
        <v>0</v>
      </c>
      <c r="AQ193" s="79">
        <f t="shared" si="69"/>
        <v>0</v>
      </c>
      <c r="AR193" s="79">
        <f t="shared" si="70"/>
        <v>0</v>
      </c>
      <c r="AS193" s="79">
        <f t="shared" si="71"/>
        <v>0</v>
      </c>
      <c r="AT193" s="79">
        <f t="shared" si="72"/>
        <v>0</v>
      </c>
      <c r="AU193" s="79">
        <f t="shared" si="73"/>
        <v>0</v>
      </c>
      <c r="AV193" s="79">
        <f t="shared" si="74"/>
        <v>0</v>
      </c>
      <c r="AW193" s="79">
        <f t="shared" si="75"/>
        <v>0</v>
      </c>
      <c r="AX193" s="79">
        <f t="shared" si="76"/>
        <v>0</v>
      </c>
      <c r="AY193" s="79">
        <f t="shared" si="77"/>
        <v>0</v>
      </c>
      <c r="AZ193" s="79">
        <f t="shared" si="78"/>
        <v>0</v>
      </c>
      <c r="BA193" s="79">
        <f t="shared" si="79"/>
        <v>0</v>
      </c>
      <c r="BB193" s="79">
        <f t="shared" si="80"/>
        <v>0</v>
      </c>
      <c r="BC193" s="79">
        <f t="shared" si="79"/>
        <v>0</v>
      </c>
      <c r="BD193" s="79">
        <f t="shared" si="80"/>
        <v>0</v>
      </c>
      <c r="BE193" s="79">
        <f t="shared" si="81"/>
        <v>0</v>
      </c>
      <c r="BF193" s="79">
        <f t="shared" si="82"/>
        <v>0</v>
      </c>
      <c r="BG193" s="79">
        <f t="shared" si="83"/>
        <v>0</v>
      </c>
      <c r="BH193" s="79">
        <f t="shared" si="84"/>
        <v>0</v>
      </c>
      <c r="BI193" s="79">
        <f t="shared" si="85"/>
        <v>0</v>
      </c>
      <c r="BJ193" s="79">
        <f t="shared" si="86"/>
        <v>0</v>
      </c>
      <c r="BK193" s="56"/>
      <c r="BL193" s="56"/>
    </row>
    <row r="194" spans="1:69" x14ac:dyDescent="0.3">
      <c r="A194" s="12" t="str">
        <f>IF(ISBLANK($C194),"",MAX($A$95:$A193)+0.01)</f>
        <v/>
      </c>
      <c r="B194" s="51"/>
      <c r="C194" s="44"/>
      <c r="D194" s="44"/>
      <c r="E194" s="45"/>
      <c r="F194" s="44"/>
      <c r="G194" s="45"/>
      <c r="H194" s="46" t="str">
        <f t="shared" si="60"/>
        <v/>
      </c>
      <c r="I194" s="45"/>
      <c r="J194" s="46" t="str">
        <f t="shared" si="61"/>
        <v/>
      </c>
      <c r="K194" s="45"/>
      <c r="L194" s="46" t="str">
        <f t="shared" si="62"/>
        <v/>
      </c>
      <c r="M194" s="45"/>
      <c r="N194" s="46" t="str">
        <f t="shared" si="63"/>
        <v/>
      </c>
      <c r="O194" s="44"/>
      <c r="P194" s="45"/>
      <c r="Q194" s="46" t="str">
        <f t="shared" si="64"/>
        <v/>
      </c>
      <c r="R194" s="53" t="str">
        <f t="shared" si="65"/>
        <v/>
      </c>
      <c r="S194" s="43"/>
      <c r="T194" s="43"/>
      <c r="U194" s="43"/>
      <c r="W194" s="37">
        <v>0</v>
      </c>
      <c r="X194" s="37">
        <v>0</v>
      </c>
      <c r="Y194" s="37">
        <v>0</v>
      </c>
      <c r="Z194" s="37">
        <v>0</v>
      </c>
      <c r="AA194" s="37">
        <v>0</v>
      </c>
      <c r="AB194" s="38">
        <v>0</v>
      </c>
      <c r="AC194" s="38">
        <v>0</v>
      </c>
      <c r="AD194" s="38">
        <v>0</v>
      </c>
      <c r="AE194" s="38">
        <v>0</v>
      </c>
      <c r="AF194" s="38">
        <v>0</v>
      </c>
      <c r="AG194" s="36">
        <f t="shared" si="89"/>
        <v>0</v>
      </c>
      <c r="AH194" s="56"/>
      <c r="AI194" s="56"/>
      <c r="AJ194" s="56"/>
      <c r="AK194" s="56"/>
      <c r="AL194" s="56"/>
      <c r="AM194" s="79">
        <f t="shared" si="67"/>
        <v>0</v>
      </c>
      <c r="AN194" s="79">
        <f t="shared" si="68"/>
        <v>0</v>
      </c>
      <c r="AO194" s="79">
        <f t="shared" si="69"/>
        <v>0</v>
      </c>
      <c r="AP194" s="79">
        <f t="shared" si="70"/>
        <v>0</v>
      </c>
      <c r="AQ194" s="79">
        <f t="shared" si="69"/>
        <v>0</v>
      </c>
      <c r="AR194" s="79">
        <f t="shared" si="70"/>
        <v>0</v>
      </c>
      <c r="AS194" s="79">
        <f t="shared" si="71"/>
        <v>0</v>
      </c>
      <c r="AT194" s="79">
        <f t="shared" si="72"/>
        <v>0</v>
      </c>
      <c r="AU194" s="79">
        <f t="shared" si="73"/>
        <v>0</v>
      </c>
      <c r="AV194" s="79">
        <f t="shared" si="74"/>
        <v>0</v>
      </c>
      <c r="AW194" s="79">
        <f t="shared" si="75"/>
        <v>0</v>
      </c>
      <c r="AX194" s="79">
        <f t="shared" si="76"/>
        <v>0</v>
      </c>
      <c r="AY194" s="79">
        <f t="shared" si="77"/>
        <v>0</v>
      </c>
      <c r="AZ194" s="79">
        <f t="shared" si="78"/>
        <v>0</v>
      </c>
      <c r="BA194" s="79">
        <f t="shared" si="79"/>
        <v>0</v>
      </c>
      <c r="BB194" s="79">
        <f t="shared" si="80"/>
        <v>0</v>
      </c>
      <c r="BC194" s="79">
        <f t="shared" si="79"/>
        <v>0</v>
      </c>
      <c r="BD194" s="79">
        <f t="shared" si="80"/>
        <v>0</v>
      </c>
      <c r="BE194" s="79">
        <f t="shared" si="81"/>
        <v>0</v>
      </c>
      <c r="BF194" s="79">
        <f t="shared" si="82"/>
        <v>0</v>
      </c>
      <c r="BG194" s="79">
        <f t="shared" si="83"/>
        <v>0</v>
      </c>
      <c r="BH194" s="79">
        <f t="shared" si="84"/>
        <v>0</v>
      </c>
      <c r="BI194" s="79">
        <f t="shared" si="85"/>
        <v>0</v>
      </c>
      <c r="BJ194" s="79">
        <f t="shared" si="86"/>
        <v>0</v>
      </c>
      <c r="BK194" s="56"/>
      <c r="BL194" s="56"/>
    </row>
    <row r="195" spans="1:69" x14ac:dyDescent="0.3">
      <c r="AH195" s="107" t="s">
        <v>419</v>
      </c>
      <c r="AI195" s="56"/>
      <c r="AJ195" s="56"/>
      <c r="AK195" s="56"/>
      <c r="AL195" s="56"/>
      <c r="AM195" s="105">
        <f t="shared" ref="AM195:BJ195" si="90">SUM(AM$104:AM$194)</f>
        <v>0</v>
      </c>
      <c r="AN195" s="105">
        <f t="shared" si="90"/>
        <v>0</v>
      </c>
      <c r="AO195" s="105">
        <f t="shared" si="90"/>
        <v>0</v>
      </c>
      <c r="AP195" s="105">
        <f t="shared" si="90"/>
        <v>0</v>
      </c>
      <c r="AQ195" s="105">
        <f t="shared" si="90"/>
        <v>0</v>
      </c>
      <c r="AR195" s="105">
        <f t="shared" si="90"/>
        <v>0</v>
      </c>
      <c r="AS195" s="105">
        <f t="shared" si="90"/>
        <v>0</v>
      </c>
      <c r="AT195" s="105">
        <f t="shared" si="90"/>
        <v>0</v>
      </c>
      <c r="AU195" s="105">
        <f t="shared" si="90"/>
        <v>0</v>
      </c>
      <c r="AV195" s="105">
        <f t="shared" si="90"/>
        <v>0</v>
      </c>
      <c r="AW195" s="105">
        <f t="shared" si="90"/>
        <v>0</v>
      </c>
      <c r="AX195" s="105">
        <f t="shared" si="90"/>
        <v>0</v>
      </c>
      <c r="AY195" s="105">
        <f t="shared" si="90"/>
        <v>0</v>
      </c>
      <c r="AZ195" s="105">
        <f t="shared" si="90"/>
        <v>0</v>
      </c>
      <c r="BA195" s="105">
        <f t="shared" si="90"/>
        <v>0</v>
      </c>
      <c r="BB195" s="105">
        <f t="shared" si="90"/>
        <v>0</v>
      </c>
      <c r="BC195" s="105">
        <f t="shared" si="90"/>
        <v>0</v>
      </c>
      <c r="BD195" s="105">
        <f t="shared" si="90"/>
        <v>0</v>
      </c>
      <c r="BE195" s="105">
        <f t="shared" si="90"/>
        <v>0</v>
      </c>
      <c r="BF195" s="105">
        <f t="shared" si="90"/>
        <v>0</v>
      </c>
      <c r="BG195" s="105">
        <f t="shared" si="90"/>
        <v>0</v>
      </c>
      <c r="BH195" s="105">
        <f t="shared" si="90"/>
        <v>0</v>
      </c>
      <c r="BI195" s="105">
        <f t="shared" si="90"/>
        <v>0</v>
      </c>
      <c r="BJ195" s="105">
        <f t="shared" si="90"/>
        <v>0</v>
      </c>
      <c r="BK195" s="56"/>
      <c r="BL195" s="56"/>
    </row>
    <row r="196" spans="1:69" x14ac:dyDescent="0.3">
      <c r="AH196" s="107" t="s">
        <v>420</v>
      </c>
      <c r="AI196" s="56"/>
      <c r="AJ196" s="56"/>
      <c r="AK196" s="56"/>
      <c r="AL196" s="56"/>
      <c r="AM196" s="105">
        <f>MAX(AM$104:AM$194)</f>
        <v>0</v>
      </c>
      <c r="AN196" s="105">
        <v>16</v>
      </c>
      <c r="AO196" s="105">
        <f>MAX(AO$104:AO$194)</f>
        <v>0</v>
      </c>
      <c r="AP196" s="105">
        <v>16</v>
      </c>
      <c r="AQ196" s="105">
        <f>MAX(AQ$104:AQ$194)</f>
        <v>0</v>
      </c>
      <c r="AR196" s="105">
        <v>16</v>
      </c>
      <c r="AS196" s="105">
        <f>MAX(AS$104:AS$194)</f>
        <v>0</v>
      </c>
      <c r="AT196" s="105">
        <v>16</v>
      </c>
      <c r="AU196" s="105">
        <f>MAX(AU$104:AU$194)</f>
        <v>0</v>
      </c>
      <c r="AV196" s="105">
        <v>16</v>
      </c>
      <c r="AW196" s="105">
        <f>MAX(AW$104:AW$194)</f>
        <v>0</v>
      </c>
      <c r="AX196" s="105">
        <v>16</v>
      </c>
      <c r="AY196" s="105">
        <f>MAX(AY$104:AY$194)</f>
        <v>0</v>
      </c>
      <c r="AZ196" s="105">
        <v>16</v>
      </c>
      <c r="BA196" s="105">
        <f>MAX(BA$104:BA$194)</f>
        <v>0</v>
      </c>
      <c r="BB196" s="105">
        <v>16</v>
      </c>
      <c r="BC196" s="105">
        <f>MAX(BC$104:BC$194)</f>
        <v>0</v>
      </c>
      <c r="BD196" s="105">
        <v>16</v>
      </c>
      <c r="BE196" s="105">
        <f>MAX(BE$104:BE$194)</f>
        <v>0</v>
      </c>
      <c r="BF196" s="105">
        <v>16</v>
      </c>
      <c r="BG196" s="105">
        <f>MAX(BG$104:BG$194)</f>
        <v>0</v>
      </c>
      <c r="BH196" s="105">
        <v>16</v>
      </c>
      <c r="BI196" s="105">
        <f>MAX(BI$104:BI$194)</f>
        <v>0</v>
      </c>
      <c r="BJ196" s="105">
        <v>16</v>
      </c>
      <c r="BK196" s="56"/>
      <c r="BL196" s="56"/>
    </row>
    <row r="197" spans="1:69" ht="55.8" customHeight="1" x14ac:dyDescent="0.3">
      <c r="B197" s="205" t="s">
        <v>1542</v>
      </c>
      <c r="C197" s="205"/>
      <c r="D197" s="205"/>
      <c r="E197" s="205"/>
      <c r="F197" s="205"/>
      <c r="G197" s="205"/>
      <c r="H197" s="205"/>
      <c r="AH197" s="56"/>
      <c r="AI197" s="56"/>
      <c r="AJ197" s="56"/>
      <c r="AK197" s="56"/>
      <c r="AL197" s="56"/>
      <c r="AM197" s="105"/>
      <c r="AN197" s="56"/>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56"/>
      <c r="BL197" s="56"/>
      <c r="BM197" s="184"/>
      <c r="BN197" s="184"/>
      <c r="BO197" s="184"/>
      <c r="BP197" s="184"/>
      <c r="BQ197" s="184"/>
    </row>
    <row r="198" spans="1:69" x14ac:dyDescent="0.3">
      <c r="AH198" s="56"/>
      <c r="AI198" s="56"/>
      <c r="AJ198" s="56"/>
      <c r="AK198" s="56"/>
      <c r="AL198" s="56"/>
      <c r="AM198" s="105"/>
      <c r="AN198" s="56"/>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56"/>
      <c r="BL198" s="56"/>
      <c r="BM198" s="184"/>
      <c r="BN198" s="184"/>
      <c r="BO198" s="184"/>
      <c r="BP198" s="184"/>
      <c r="BQ198" s="184"/>
    </row>
    <row r="199" spans="1:69" x14ac:dyDescent="0.3">
      <c r="B199" s="7" t="s">
        <v>1543</v>
      </c>
      <c r="C199" s="7"/>
      <c r="D199" s="18" t="s">
        <v>91</v>
      </c>
      <c r="E199" s="19" t="s">
        <v>92</v>
      </c>
      <c r="F199" s="22"/>
      <c r="G199" s="23"/>
      <c r="H199" s="23"/>
      <c r="I199" s="23"/>
      <c r="J199" s="23"/>
      <c r="K199" s="24"/>
      <c r="L199" s="23"/>
      <c r="M199" s="13"/>
      <c r="N199" s="13"/>
      <c r="O199" s="13"/>
      <c r="P199" s="13"/>
      <c r="Q199" s="13"/>
      <c r="R199" s="13"/>
      <c r="AH199" s="56"/>
      <c r="AI199" s="232" t="s">
        <v>1565</v>
      </c>
      <c r="AJ199" s="232" t="s">
        <v>392</v>
      </c>
      <c r="AK199" s="232" t="s">
        <v>1565</v>
      </c>
      <c r="AL199" s="232" t="s">
        <v>392</v>
      </c>
      <c r="AM199" s="232" t="s">
        <v>1566</v>
      </c>
      <c r="AN199" s="232"/>
      <c r="AO199" s="232" t="s">
        <v>1472</v>
      </c>
      <c r="AP199" s="232"/>
      <c r="AQ199" s="232" t="s">
        <v>13</v>
      </c>
      <c r="AR199" s="232"/>
      <c r="AS199" s="232" t="s">
        <v>1445</v>
      </c>
      <c r="AT199" s="232"/>
      <c r="AU199" s="232" t="s">
        <v>1475</v>
      </c>
      <c r="AV199" s="232"/>
      <c r="AW199" s="232" t="s">
        <v>1441</v>
      </c>
      <c r="AX199" s="232"/>
      <c r="AY199" s="232" t="s">
        <v>1566</v>
      </c>
      <c r="AZ199" s="232"/>
      <c r="BA199" s="232" t="s">
        <v>1472</v>
      </c>
      <c r="BB199" s="232"/>
      <c r="BC199" s="232" t="s">
        <v>13</v>
      </c>
      <c r="BD199" s="232"/>
      <c r="BE199" s="232" t="s">
        <v>1445</v>
      </c>
      <c r="BF199" s="232"/>
      <c r="BG199" s="232" t="s">
        <v>1475</v>
      </c>
      <c r="BH199" s="232"/>
      <c r="BI199" s="232" t="s">
        <v>1441</v>
      </c>
      <c r="BJ199" s="232"/>
      <c r="BK199" s="56"/>
      <c r="BL199" s="56"/>
      <c r="BM199" s="184"/>
      <c r="BN199" s="184"/>
      <c r="BO199" s="184"/>
      <c r="BP199" s="184"/>
      <c r="BQ199" s="184"/>
    </row>
    <row r="200" spans="1:69" x14ac:dyDescent="0.3">
      <c r="B200" s="7"/>
      <c r="C200" s="7"/>
      <c r="D200" s="18" t="s">
        <v>1033</v>
      </c>
      <c r="E200" s="19" t="s">
        <v>93</v>
      </c>
      <c r="F200" s="22"/>
      <c r="G200" s="23"/>
      <c r="H200" s="23"/>
      <c r="I200" s="23"/>
      <c r="J200" s="23"/>
      <c r="K200" s="24"/>
      <c r="L200" s="23"/>
      <c r="M200" s="13"/>
      <c r="N200" s="13"/>
      <c r="O200" s="13"/>
      <c r="P200" s="13"/>
      <c r="Q200" s="13"/>
      <c r="R200" s="13"/>
      <c r="AH200" s="56"/>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c r="BK200" s="56"/>
      <c r="BL200" s="56"/>
      <c r="BM200" s="184"/>
      <c r="BN200" s="184"/>
      <c r="BO200" s="184"/>
      <c r="BP200" s="184"/>
      <c r="BQ200" s="184"/>
    </row>
    <row r="201" spans="1:69" x14ac:dyDescent="0.3">
      <c r="B201" s="7"/>
      <c r="C201" s="7"/>
      <c r="D201" s="18" t="s">
        <v>1034</v>
      </c>
      <c r="E201" s="19">
        <v>2</v>
      </c>
      <c r="F201" s="22"/>
      <c r="G201" s="23"/>
      <c r="H201" s="23"/>
      <c r="I201" s="23"/>
      <c r="J201" s="23"/>
      <c r="K201" s="23"/>
      <c r="L201" s="13"/>
      <c r="M201" s="13"/>
      <c r="N201" s="13"/>
      <c r="O201" s="13"/>
      <c r="P201" s="13"/>
      <c r="Q201" s="13"/>
      <c r="R201" s="13"/>
      <c r="AH201" s="56"/>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32"/>
      <c r="BK201" s="56"/>
      <c r="BL201" s="56"/>
      <c r="BM201" s="184"/>
      <c r="BN201" s="184"/>
      <c r="BO201" s="184"/>
      <c r="BP201" s="184"/>
      <c r="BQ201" s="184"/>
    </row>
    <row r="202" spans="1:69" x14ac:dyDescent="0.3">
      <c r="B202" s="7"/>
      <c r="C202" s="7"/>
      <c r="D202" s="18" t="s">
        <v>1036</v>
      </c>
      <c r="E202" s="19">
        <v>3</v>
      </c>
      <c r="F202" s="22"/>
      <c r="G202" s="23"/>
      <c r="H202" s="23"/>
      <c r="I202" s="23"/>
      <c r="J202" s="23"/>
      <c r="K202" s="23"/>
      <c r="L202" s="13"/>
      <c r="M202" s="13"/>
      <c r="N202" s="13"/>
      <c r="O202" s="13"/>
      <c r="P202" s="13"/>
      <c r="Q202" s="13"/>
      <c r="R202" s="13"/>
      <c r="AH202" s="56"/>
      <c r="AI202" s="232"/>
      <c r="AJ202" s="232"/>
      <c r="AK202" s="232"/>
      <c r="AL202" s="232"/>
      <c r="AM202" s="232"/>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32"/>
      <c r="BK202" s="56"/>
      <c r="BL202" s="56"/>
      <c r="BM202" s="184"/>
      <c r="BN202" s="184"/>
      <c r="BO202" s="184"/>
      <c r="BP202" s="184"/>
      <c r="BQ202" s="184"/>
    </row>
    <row r="203" spans="1:69" x14ac:dyDescent="0.3">
      <c r="B203" s="7"/>
      <c r="C203" s="7"/>
      <c r="D203" s="18" t="s">
        <v>1038</v>
      </c>
      <c r="E203" s="19">
        <v>4</v>
      </c>
      <c r="F203" s="22"/>
      <c r="G203" s="23"/>
      <c r="H203" s="23"/>
      <c r="I203" s="23"/>
      <c r="J203" s="23"/>
      <c r="K203" s="23"/>
      <c r="L203" s="13"/>
      <c r="M203" s="13"/>
      <c r="N203" s="13"/>
      <c r="O203" s="13"/>
      <c r="P203" s="13"/>
      <c r="Q203" s="13"/>
      <c r="R203" s="13"/>
      <c r="AH203" s="56"/>
      <c r="AI203" s="232"/>
      <c r="AJ203" s="232"/>
      <c r="AK203" s="232"/>
      <c r="AL203" s="232"/>
      <c r="AM203" s="232"/>
      <c r="AN203" s="232"/>
      <c r="AO203" s="232"/>
      <c r="AP203" s="232"/>
      <c r="AQ203" s="232"/>
      <c r="AR203" s="232"/>
      <c r="AS203" s="232"/>
      <c r="AT203" s="232"/>
      <c r="AU203" s="232"/>
      <c r="AV203" s="232"/>
      <c r="AW203" s="232"/>
      <c r="AX203" s="232"/>
      <c r="AY203" s="232"/>
      <c r="AZ203" s="232"/>
      <c r="BA203" s="232"/>
      <c r="BB203" s="232"/>
      <c r="BC203" s="232"/>
      <c r="BD203" s="232"/>
      <c r="BE203" s="232"/>
      <c r="BF203" s="232"/>
      <c r="BG203" s="232"/>
      <c r="BH203" s="232"/>
      <c r="BI203" s="232"/>
      <c r="BJ203" s="232"/>
      <c r="BK203" s="56"/>
      <c r="BL203" s="56"/>
      <c r="BM203" s="184"/>
      <c r="BN203" s="184"/>
      <c r="BO203" s="184"/>
      <c r="BP203" s="184"/>
      <c r="BQ203" s="184"/>
    </row>
    <row r="204" spans="1:69" x14ac:dyDescent="0.3">
      <c r="G204" s="23"/>
      <c r="H204" s="23"/>
      <c r="I204" s="23"/>
      <c r="J204" s="23"/>
      <c r="K204" s="23"/>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184"/>
      <c r="BN204" s="184"/>
      <c r="BO204" s="184"/>
      <c r="BP204" s="184"/>
      <c r="BQ204" s="184"/>
    </row>
    <row r="205" spans="1:69" x14ac:dyDescent="0.3">
      <c r="G205" s="23"/>
      <c r="H205" s="23"/>
      <c r="I205" s="23"/>
      <c r="J205" s="23"/>
      <c r="K205" s="23"/>
      <c r="AH205" s="56"/>
      <c r="AI205" s="56"/>
      <c r="AJ205" s="56"/>
      <c r="AK205" s="56"/>
      <c r="AL205" s="56"/>
      <c r="AM205" s="106" t="e">
        <f>AM$195/AN$195</f>
        <v>#DIV/0!</v>
      </c>
      <c r="AN205" s="56"/>
      <c r="AO205" s="106" t="e">
        <f>AO$195/AP$195</f>
        <v>#DIV/0!</v>
      </c>
      <c r="AP205" s="56"/>
      <c r="AQ205" s="106" t="e">
        <f>AQ$195/AR$195</f>
        <v>#DIV/0!</v>
      </c>
      <c r="AR205" s="56"/>
      <c r="AS205" s="106" t="e">
        <f>AS$195/AT$195</f>
        <v>#DIV/0!</v>
      </c>
      <c r="AT205" s="56"/>
      <c r="AU205" s="106" t="e">
        <f>AU$195/AV$195</f>
        <v>#DIV/0!</v>
      </c>
      <c r="AV205" s="56"/>
      <c r="AW205" s="106" t="e">
        <f>AW$195/AX$195</f>
        <v>#DIV/0!</v>
      </c>
      <c r="AX205" s="56"/>
      <c r="AY205" s="106" t="e">
        <f>AY$195/AZ$195</f>
        <v>#DIV/0!</v>
      </c>
      <c r="AZ205" s="56"/>
      <c r="BA205" s="106" t="e">
        <f>BA$195/BB$195</f>
        <v>#DIV/0!</v>
      </c>
      <c r="BB205" s="56"/>
      <c r="BC205" s="106" t="e">
        <f>BC$195/BD$195</f>
        <v>#DIV/0!</v>
      </c>
      <c r="BD205" s="56"/>
      <c r="BE205" s="106" t="e">
        <f>BE$195/BF$195</f>
        <v>#DIV/0!</v>
      </c>
      <c r="BF205" s="56"/>
      <c r="BG205" s="106" t="e">
        <f>BG$195/BH$195</f>
        <v>#DIV/0!</v>
      </c>
      <c r="BH205" s="56"/>
      <c r="BI205" s="106" t="e">
        <f>BI$195/BJ$195</f>
        <v>#DIV/0!</v>
      </c>
      <c r="BJ205" s="56"/>
      <c r="BK205" s="56"/>
      <c r="BL205" s="56"/>
      <c r="BM205" s="184"/>
      <c r="BN205" s="184"/>
      <c r="BO205" s="184"/>
      <c r="BP205" s="184"/>
      <c r="BQ205" s="184"/>
    </row>
    <row r="206" spans="1:69" x14ac:dyDescent="0.3">
      <c r="B206" s="240" t="s">
        <v>1544</v>
      </c>
      <c r="C206" s="241"/>
      <c r="D206" s="18" t="s">
        <v>91</v>
      </c>
      <c r="E206" s="19" t="s">
        <v>92</v>
      </c>
      <c r="G206" s="23">
        <v>4</v>
      </c>
      <c r="H206" s="23">
        <f t="shared" ref="H206:K209" si="91">$G206*H$210</f>
        <v>4</v>
      </c>
      <c r="I206" s="23">
        <f t="shared" si="91"/>
        <v>8</v>
      </c>
      <c r="J206" s="23">
        <f t="shared" si="91"/>
        <v>12</v>
      </c>
      <c r="K206" s="23">
        <f t="shared" si="91"/>
        <v>16</v>
      </c>
      <c r="M206" s="24" t="s">
        <v>1451</v>
      </c>
      <c r="N206" s="108">
        <v>6</v>
      </c>
      <c r="O206" s="23"/>
      <c r="P206" s="23"/>
      <c r="Q206" s="23"/>
      <c r="R206" s="23"/>
      <c r="AH206" s="56"/>
      <c r="AI206" s="56"/>
      <c r="AJ206" s="56"/>
      <c r="AK206" s="56"/>
      <c r="AL206" s="56"/>
      <c r="AM206" s="106">
        <f>AM$196/AN$196</f>
        <v>0</v>
      </c>
      <c r="AN206" s="56"/>
      <c r="AO206" s="106">
        <f>AO$196/AP$196</f>
        <v>0</v>
      </c>
      <c r="AP206" s="56"/>
      <c r="AQ206" s="106">
        <f>AQ$196/AR$196</f>
        <v>0</v>
      </c>
      <c r="AR206" s="56"/>
      <c r="AS206" s="106">
        <f>AS$196/AT$196</f>
        <v>0</v>
      </c>
      <c r="AT206" s="56"/>
      <c r="AU206" s="106">
        <f>AU$196/AV$196</f>
        <v>0</v>
      </c>
      <c r="AV206" s="56"/>
      <c r="AW206" s="106">
        <f>AW$196/AX$196</f>
        <v>0</v>
      </c>
      <c r="AX206" s="56"/>
      <c r="AY206" s="106">
        <f>AY$196/AZ$196</f>
        <v>0</v>
      </c>
      <c r="AZ206" s="56"/>
      <c r="BA206" s="106">
        <f>BA$196/BB$196</f>
        <v>0</v>
      </c>
      <c r="BB206" s="56"/>
      <c r="BC206" s="106">
        <f>BC$196/BD$196</f>
        <v>0</v>
      </c>
      <c r="BD206" s="56"/>
      <c r="BE206" s="106">
        <f>BE$196/BF$196</f>
        <v>0</v>
      </c>
      <c r="BF206" s="56"/>
      <c r="BG206" s="106">
        <f>BG$196/BH$196</f>
        <v>0</v>
      </c>
      <c r="BH206" s="56"/>
      <c r="BI206" s="106">
        <f>BI$196/BJ$196</f>
        <v>0</v>
      </c>
      <c r="BJ206" s="56"/>
      <c r="BK206" s="56"/>
      <c r="BL206" s="56"/>
      <c r="BM206" s="184"/>
      <c r="BN206" s="184"/>
      <c r="BO206" s="184"/>
      <c r="BP206" s="184"/>
      <c r="BQ206" s="184"/>
    </row>
    <row r="207" spans="1:69" x14ac:dyDescent="0.3">
      <c r="B207" s="39"/>
      <c r="C207" s="39"/>
      <c r="D207" s="18" t="s">
        <v>1346</v>
      </c>
      <c r="E207" s="19" t="s">
        <v>93</v>
      </c>
      <c r="G207" s="23">
        <v>3</v>
      </c>
      <c r="H207" s="23">
        <f t="shared" si="91"/>
        <v>3</v>
      </c>
      <c r="I207" s="23">
        <f t="shared" si="91"/>
        <v>6</v>
      </c>
      <c r="J207" s="23">
        <f t="shared" si="91"/>
        <v>9</v>
      </c>
      <c r="K207" s="23">
        <f t="shared" si="91"/>
        <v>12</v>
      </c>
      <c r="M207" s="24"/>
      <c r="N207" s="23"/>
      <c r="O207" s="23"/>
      <c r="P207" s="23"/>
      <c r="Q207" s="23"/>
      <c r="R207" s="23"/>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184"/>
      <c r="BN207" s="184"/>
      <c r="BO207" s="184"/>
      <c r="BP207" s="184"/>
      <c r="BQ207" s="184"/>
    </row>
    <row r="208" spans="1:69" x14ac:dyDescent="0.3">
      <c r="D208" s="18" t="s">
        <v>1347</v>
      </c>
      <c r="E208" s="19">
        <v>2</v>
      </c>
      <c r="F208" s="17"/>
      <c r="G208" s="23">
        <v>2</v>
      </c>
      <c r="H208" s="23">
        <f t="shared" si="91"/>
        <v>2</v>
      </c>
      <c r="I208" s="23">
        <f t="shared" si="91"/>
        <v>4</v>
      </c>
      <c r="J208" s="23">
        <f t="shared" si="91"/>
        <v>6</v>
      </c>
      <c r="K208" s="23">
        <f t="shared" si="91"/>
        <v>8</v>
      </c>
      <c r="L208" s="23"/>
      <c r="M208" s="13"/>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184"/>
      <c r="BN208" s="184"/>
      <c r="BO208" s="184"/>
      <c r="BP208" s="184"/>
      <c r="BQ208" s="184"/>
    </row>
    <row r="209" spans="2:69" x14ac:dyDescent="0.3">
      <c r="D209" s="18" t="s">
        <v>1043</v>
      </c>
      <c r="E209" s="19">
        <v>3</v>
      </c>
      <c r="G209" s="23">
        <v>1</v>
      </c>
      <c r="H209" s="23">
        <f t="shared" si="91"/>
        <v>1</v>
      </c>
      <c r="I209" s="23">
        <f t="shared" si="91"/>
        <v>2</v>
      </c>
      <c r="J209" s="23">
        <f t="shared" si="91"/>
        <v>3</v>
      </c>
      <c r="K209" s="23">
        <f t="shared" si="91"/>
        <v>4</v>
      </c>
      <c r="L209" s="23"/>
      <c r="M209" s="13"/>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184"/>
      <c r="BN209" s="184"/>
      <c r="BO209" s="184"/>
      <c r="BP209" s="184"/>
      <c r="BQ209" s="184"/>
    </row>
    <row r="210" spans="2:69" x14ac:dyDescent="0.3">
      <c r="D210" s="18" t="s">
        <v>1044</v>
      </c>
      <c r="E210" s="19">
        <v>4</v>
      </c>
      <c r="G210" s="23"/>
      <c r="H210" s="23">
        <v>1</v>
      </c>
      <c r="I210" s="23">
        <v>2</v>
      </c>
      <c r="J210" s="23">
        <v>3</v>
      </c>
      <c r="K210" s="23">
        <v>4</v>
      </c>
      <c r="L210" s="23"/>
      <c r="M210" s="13"/>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184"/>
      <c r="BN210" s="184"/>
      <c r="BO210" s="184"/>
      <c r="BP210" s="184"/>
      <c r="BQ210" s="184"/>
    </row>
    <row r="211" spans="2:69" x14ac:dyDescent="0.3">
      <c r="D211" s="16"/>
      <c r="L211" s="23"/>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184"/>
      <c r="BN211" s="184"/>
      <c r="BO211" s="184"/>
      <c r="BP211" s="184"/>
      <c r="BQ211" s="184"/>
    </row>
    <row r="212" spans="2:69" x14ac:dyDescent="0.3">
      <c r="D212" s="16"/>
      <c r="G212" s="13"/>
      <c r="H212" s="13"/>
      <c r="I212" s="13"/>
      <c r="J212" s="13"/>
      <c r="K212" s="13"/>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184"/>
      <c r="BN212" s="184"/>
      <c r="BO212" s="184"/>
      <c r="BP212" s="184"/>
      <c r="BQ212" s="184"/>
    </row>
    <row r="213" spans="2:69" x14ac:dyDescent="0.3">
      <c r="B213" s="240" t="s">
        <v>1545</v>
      </c>
      <c r="C213" s="241"/>
      <c r="D213" s="18" t="s">
        <v>91</v>
      </c>
      <c r="E213" s="19" t="s">
        <v>92</v>
      </c>
      <c r="G213" s="23">
        <v>4</v>
      </c>
      <c r="H213" s="23">
        <f t="shared" ref="H213:K216" si="92">$G213*H$217</f>
        <v>4</v>
      </c>
      <c r="I213" s="23">
        <f t="shared" si="92"/>
        <v>8</v>
      </c>
      <c r="J213" s="23">
        <f t="shared" si="92"/>
        <v>12</v>
      </c>
      <c r="K213" s="23">
        <f t="shared" si="92"/>
        <v>16</v>
      </c>
      <c r="M213" s="24" t="s">
        <v>1550</v>
      </c>
      <c r="N213" s="108">
        <v>7</v>
      </c>
      <c r="O213" s="23"/>
      <c r="P213" s="23"/>
      <c r="Q213" s="23"/>
      <c r="R213" s="23"/>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184"/>
      <c r="BN213" s="184"/>
      <c r="BO213" s="184"/>
      <c r="BP213" s="184"/>
      <c r="BQ213" s="184"/>
    </row>
    <row r="214" spans="2:69" x14ac:dyDescent="0.3">
      <c r="B214" s="39"/>
      <c r="C214" s="39"/>
      <c r="D214" s="18" t="s">
        <v>1346</v>
      </c>
      <c r="E214" s="19" t="s">
        <v>93</v>
      </c>
      <c r="G214" s="23">
        <v>3</v>
      </c>
      <c r="H214" s="23">
        <f t="shared" si="92"/>
        <v>3</v>
      </c>
      <c r="I214" s="23">
        <f t="shared" si="92"/>
        <v>6</v>
      </c>
      <c r="J214" s="23">
        <f t="shared" si="92"/>
        <v>9</v>
      </c>
      <c r="K214" s="23">
        <f t="shared" si="92"/>
        <v>12</v>
      </c>
      <c r="M214" s="24"/>
      <c r="N214" s="23"/>
      <c r="O214" s="23"/>
      <c r="P214" s="23"/>
      <c r="Q214" s="23"/>
      <c r="R214" s="23"/>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184"/>
      <c r="BN214" s="184"/>
      <c r="BO214" s="184"/>
      <c r="BP214" s="184"/>
      <c r="BQ214" s="184"/>
    </row>
    <row r="215" spans="2:69" x14ac:dyDescent="0.3">
      <c r="D215" s="18" t="s">
        <v>1347</v>
      </c>
      <c r="E215" s="19">
        <v>2</v>
      </c>
      <c r="G215" s="23">
        <v>2</v>
      </c>
      <c r="H215" s="23">
        <f t="shared" si="92"/>
        <v>2</v>
      </c>
      <c r="I215" s="23">
        <f t="shared" si="92"/>
        <v>4</v>
      </c>
      <c r="J215" s="23">
        <f t="shared" si="92"/>
        <v>6</v>
      </c>
      <c r="K215" s="23">
        <f t="shared" si="92"/>
        <v>8</v>
      </c>
      <c r="L215" s="23"/>
      <c r="M215" s="13"/>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184"/>
      <c r="BN215" s="184"/>
      <c r="BO215" s="184"/>
      <c r="BP215" s="184"/>
      <c r="BQ215" s="184"/>
    </row>
    <row r="216" spans="2:69" x14ac:dyDescent="0.3">
      <c r="D216" s="18" t="s">
        <v>1043</v>
      </c>
      <c r="E216" s="19">
        <v>3</v>
      </c>
      <c r="G216" s="23">
        <v>1</v>
      </c>
      <c r="H216" s="23">
        <f t="shared" si="92"/>
        <v>1</v>
      </c>
      <c r="I216" s="23">
        <f t="shared" si="92"/>
        <v>2</v>
      </c>
      <c r="J216" s="23">
        <f t="shared" si="92"/>
        <v>3</v>
      </c>
      <c r="K216" s="23">
        <f t="shared" si="92"/>
        <v>4</v>
      </c>
      <c r="L216" s="23"/>
      <c r="M216" s="13"/>
      <c r="AH216" s="184"/>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184"/>
      <c r="BN216" s="184"/>
      <c r="BO216" s="184"/>
      <c r="BP216" s="184"/>
      <c r="BQ216" s="184"/>
    </row>
    <row r="217" spans="2:69" x14ac:dyDescent="0.3">
      <c r="D217" s="18" t="s">
        <v>1044</v>
      </c>
      <c r="E217" s="19">
        <v>4</v>
      </c>
      <c r="G217" s="23"/>
      <c r="H217" s="23">
        <v>1</v>
      </c>
      <c r="I217" s="23">
        <v>2</v>
      </c>
      <c r="J217" s="23">
        <v>3</v>
      </c>
      <c r="K217" s="23">
        <v>4</v>
      </c>
      <c r="L217" s="23"/>
      <c r="M217" s="13"/>
      <c r="AH217" s="184"/>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184"/>
      <c r="BN217" s="184"/>
      <c r="BO217" s="184"/>
      <c r="BP217" s="184"/>
      <c r="BQ217" s="184"/>
    </row>
    <row r="218" spans="2:69" x14ac:dyDescent="0.3">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row>
    <row r="219" spans="2:69" x14ac:dyDescent="0.3">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row>
    <row r="220" spans="2:69" x14ac:dyDescent="0.3">
      <c r="B220" s="7" t="s">
        <v>1546</v>
      </c>
      <c r="D220" s="18" t="s">
        <v>91</v>
      </c>
      <c r="E220" s="19" t="s">
        <v>92</v>
      </c>
      <c r="G220" s="23">
        <v>4</v>
      </c>
      <c r="H220" s="23">
        <f t="shared" ref="H220:K223" si="93">$G220*H$224</f>
        <v>4</v>
      </c>
      <c r="I220" s="23">
        <f t="shared" si="93"/>
        <v>8</v>
      </c>
      <c r="J220" s="23">
        <f t="shared" si="93"/>
        <v>12</v>
      </c>
      <c r="K220" s="23">
        <f t="shared" si="93"/>
        <v>16</v>
      </c>
      <c r="M220" s="24" t="s">
        <v>1550</v>
      </c>
      <c r="N220" s="108">
        <v>6</v>
      </c>
      <c r="O220" s="23"/>
      <c r="P220" s="23"/>
      <c r="Q220" s="23"/>
      <c r="R220" s="23"/>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row>
    <row r="221" spans="2:69" x14ac:dyDescent="0.3">
      <c r="B221" s="7"/>
      <c r="D221" s="18" t="s">
        <v>1346</v>
      </c>
      <c r="E221" s="19" t="s">
        <v>93</v>
      </c>
      <c r="G221" s="23">
        <v>3</v>
      </c>
      <c r="H221" s="23">
        <f t="shared" si="93"/>
        <v>3</v>
      </c>
      <c r="I221" s="23">
        <f t="shared" si="93"/>
        <v>6</v>
      </c>
      <c r="J221" s="23">
        <f t="shared" si="93"/>
        <v>9</v>
      </c>
      <c r="K221" s="23">
        <f t="shared" si="93"/>
        <v>12</v>
      </c>
      <c r="M221" s="24"/>
      <c r="N221" s="23"/>
      <c r="O221" s="23"/>
      <c r="P221" s="23"/>
      <c r="Q221" s="23"/>
      <c r="R221" s="23"/>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row>
    <row r="222" spans="2:69" x14ac:dyDescent="0.3">
      <c r="B222" s="7"/>
      <c r="D222" s="18" t="s">
        <v>1347</v>
      </c>
      <c r="E222" s="19">
        <v>2</v>
      </c>
      <c r="G222" s="23">
        <v>2</v>
      </c>
      <c r="H222" s="23">
        <f t="shared" si="93"/>
        <v>2</v>
      </c>
      <c r="I222" s="23">
        <f t="shared" si="93"/>
        <v>4</v>
      </c>
      <c r="J222" s="23">
        <f t="shared" si="93"/>
        <v>6</v>
      </c>
      <c r="K222" s="23">
        <f t="shared" si="93"/>
        <v>8</v>
      </c>
      <c r="L222" s="23"/>
      <c r="M222" s="13"/>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row>
    <row r="223" spans="2:69" x14ac:dyDescent="0.3">
      <c r="B223" s="7"/>
      <c r="D223" s="18" t="s">
        <v>1043</v>
      </c>
      <c r="E223" s="19">
        <v>3</v>
      </c>
      <c r="G223" s="23">
        <v>1</v>
      </c>
      <c r="H223" s="23">
        <f t="shared" si="93"/>
        <v>1</v>
      </c>
      <c r="I223" s="23">
        <f t="shared" si="93"/>
        <v>2</v>
      </c>
      <c r="J223" s="23">
        <f t="shared" si="93"/>
        <v>3</v>
      </c>
      <c r="K223" s="23">
        <f t="shared" si="93"/>
        <v>4</v>
      </c>
      <c r="L223" s="23"/>
      <c r="M223" s="13"/>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row>
    <row r="224" spans="2:69" x14ac:dyDescent="0.3">
      <c r="B224" s="7"/>
      <c r="D224" s="18" t="s">
        <v>1044</v>
      </c>
      <c r="E224" s="19">
        <v>4</v>
      </c>
      <c r="G224" s="23"/>
      <c r="H224" s="23">
        <v>1</v>
      </c>
      <c r="I224" s="23">
        <v>2</v>
      </c>
      <c r="J224" s="23">
        <v>3</v>
      </c>
      <c r="K224" s="23">
        <v>4</v>
      </c>
      <c r="L224" s="23"/>
      <c r="M224" s="13"/>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row>
    <row r="225" spans="1:69" x14ac:dyDescent="0.3">
      <c r="B225" s="7"/>
      <c r="L225" s="23"/>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row>
    <row r="226" spans="1:69" x14ac:dyDescent="0.3">
      <c r="B226" s="7"/>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row>
    <row r="227" spans="1:69" x14ac:dyDescent="0.3">
      <c r="B227" s="7" t="s">
        <v>1547</v>
      </c>
      <c r="D227" s="18" t="s">
        <v>91</v>
      </c>
      <c r="E227" s="19" t="s">
        <v>92</v>
      </c>
      <c r="G227" s="23">
        <v>4</v>
      </c>
      <c r="H227" s="23">
        <f t="shared" ref="H227:K230" si="94">$G227*H$231</f>
        <v>4</v>
      </c>
      <c r="I227" s="23">
        <f t="shared" si="94"/>
        <v>8</v>
      </c>
      <c r="J227" s="23">
        <f t="shared" si="94"/>
        <v>12</v>
      </c>
      <c r="K227" s="23">
        <f t="shared" si="94"/>
        <v>16</v>
      </c>
      <c r="M227" s="24" t="s">
        <v>1550</v>
      </c>
      <c r="N227" s="108">
        <v>4</v>
      </c>
      <c r="O227" s="23"/>
      <c r="P227" s="23"/>
      <c r="Q227" s="23"/>
      <c r="R227" s="23"/>
      <c r="AI227" s="184"/>
      <c r="AJ227" s="184"/>
      <c r="AK227" s="184"/>
      <c r="AL227" s="184"/>
      <c r="AM227" s="184"/>
      <c r="AN227" s="184"/>
      <c r="AO227" s="184"/>
      <c r="AP227" s="184"/>
      <c r="AQ227" s="184"/>
      <c r="AR227" s="184"/>
      <c r="AS227" s="184"/>
      <c r="AT227" s="184"/>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row>
    <row r="228" spans="1:69" x14ac:dyDescent="0.3">
      <c r="B228" s="7"/>
      <c r="D228" s="18" t="s">
        <v>1346</v>
      </c>
      <c r="E228" s="19" t="s">
        <v>93</v>
      </c>
      <c r="G228" s="23">
        <v>3</v>
      </c>
      <c r="H228" s="23">
        <f t="shared" si="94"/>
        <v>3</v>
      </c>
      <c r="I228" s="23">
        <f t="shared" si="94"/>
        <v>6</v>
      </c>
      <c r="J228" s="23">
        <f t="shared" si="94"/>
        <v>9</v>
      </c>
      <c r="K228" s="23">
        <f t="shared" si="94"/>
        <v>12</v>
      </c>
      <c r="L228" s="24"/>
      <c r="M228" s="23"/>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row>
    <row r="229" spans="1:69" x14ac:dyDescent="0.3">
      <c r="B229" s="7"/>
      <c r="D229" s="18" t="s">
        <v>1347</v>
      </c>
      <c r="E229" s="19">
        <v>2</v>
      </c>
      <c r="G229" s="23">
        <v>2</v>
      </c>
      <c r="H229" s="23">
        <f t="shared" si="94"/>
        <v>2</v>
      </c>
      <c r="I229" s="23">
        <f t="shared" si="94"/>
        <v>4</v>
      </c>
      <c r="J229" s="23">
        <f t="shared" si="94"/>
        <v>6</v>
      </c>
      <c r="K229" s="23">
        <f t="shared" si="94"/>
        <v>8</v>
      </c>
      <c r="L229" s="23"/>
      <c r="M229" s="13"/>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row>
    <row r="230" spans="1:69" x14ac:dyDescent="0.3">
      <c r="B230" s="7"/>
      <c r="D230" s="18" t="s">
        <v>1043</v>
      </c>
      <c r="E230" s="19">
        <v>3</v>
      </c>
      <c r="G230" s="23">
        <v>1</v>
      </c>
      <c r="H230" s="23">
        <f t="shared" si="94"/>
        <v>1</v>
      </c>
      <c r="I230" s="23">
        <f t="shared" si="94"/>
        <v>2</v>
      </c>
      <c r="J230" s="23">
        <f t="shared" si="94"/>
        <v>3</v>
      </c>
      <c r="K230" s="23">
        <f t="shared" si="94"/>
        <v>4</v>
      </c>
      <c r="L230" s="23"/>
      <c r="M230" s="13"/>
      <c r="AI230" s="184"/>
      <c r="AJ230" s="184"/>
      <c r="AK230" s="184"/>
      <c r="AL230" s="184"/>
      <c r="AM230" s="184"/>
      <c r="AN230" s="184"/>
      <c r="AO230" s="184"/>
      <c r="AP230" s="184"/>
      <c r="AQ230" s="184"/>
      <c r="AR230" s="184"/>
      <c r="AS230" s="184"/>
      <c r="AT230" s="184"/>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row>
    <row r="231" spans="1:69" x14ac:dyDescent="0.3">
      <c r="B231" s="7"/>
      <c r="D231" s="18" t="s">
        <v>1044</v>
      </c>
      <c r="E231" s="19">
        <v>4</v>
      </c>
      <c r="G231" s="23"/>
      <c r="H231" s="23">
        <v>1</v>
      </c>
      <c r="I231" s="23">
        <v>2</v>
      </c>
      <c r="J231" s="23">
        <v>3</v>
      </c>
      <c r="K231" s="23">
        <v>4</v>
      </c>
      <c r="L231" s="23"/>
      <c r="M231" s="13"/>
      <c r="AI231" s="184"/>
      <c r="AJ231" s="184"/>
      <c r="AK231" s="184"/>
      <c r="AL231" s="184"/>
      <c r="AM231" s="184"/>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row>
    <row r="232" spans="1:69" x14ac:dyDescent="0.3">
      <c r="B232" s="7"/>
      <c r="L232" s="23"/>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row>
    <row r="233" spans="1:69" x14ac:dyDescent="0.3">
      <c r="B233" s="7"/>
      <c r="L233" s="23"/>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row>
    <row r="234" spans="1:69" x14ac:dyDescent="0.3">
      <c r="B234" s="7" t="s">
        <v>1548</v>
      </c>
      <c r="D234" s="18" t="s">
        <v>91</v>
      </c>
      <c r="E234" s="19" t="s">
        <v>92</v>
      </c>
      <c r="G234" s="23">
        <v>4</v>
      </c>
      <c r="H234" s="23">
        <f t="shared" ref="H234:K237" si="95">$G234*H$231</f>
        <v>4</v>
      </c>
      <c r="I234" s="23">
        <f t="shared" si="95"/>
        <v>8</v>
      </c>
      <c r="J234" s="23">
        <f t="shared" si="95"/>
        <v>12</v>
      </c>
      <c r="K234" s="23">
        <f t="shared" si="95"/>
        <v>16</v>
      </c>
      <c r="M234" s="24" t="s">
        <v>1551</v>
      </c>
      <c r="N234" s="108">
        <v>5</v>
      </c>
      <c r="O234" s="55" t="s">
        <v>1549</v>
      </c>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row>
    <row r="235" spans="1:69" x14ac:dyDescent="0.3">
      <c r="B235" s="7"/>
      <c r="D235" s="18" t="s">
        <v>1346</v>
      </c>
      <c r="E235" s="19" t="s">
        <v>93</v>
      </c>
      <c r="G235" s="23">
        <v>3</v>
      </c>
      <c r="H235" s="23">
        <f t="shared" si="95"/>
        <v>3</v>
      </c>
      <c r="I235" s="23">
        <f t="shared" si="95"/>
        <v>6</v>
      </c>
      <c r="J235" s="23">
        <f t="shared" si="95"/>
        <v>9</v>
      </c>
      <c r="K235" s="23">
        <f t="shared" si="95"/>
        <v>12</v>
      </c>
      <c r="L235" s="24"/>
      <c r="M235" s="24" t="s">
        <v>1552</v>
      </c>
      <c r="N235" s="108">
        <v>12</v>
      </c>
      <c r="O235" s="55" t="s">
        <v>1549</v>
      </c>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row>
    <row r="236" spans="1:69" x14ac:dyDescent="0.3">
      <c r="B236" s="7"/>
      <c r="D236" s="18" t="s">
        <v>1347</v>
      </c>
      <c r="E236" s="19">
        <v>2</v>
      </c>
      <c r="G236" s="23">
        <v>2</v>
      </c>
      <c r="H236" s="23">
        <f t="shared" si="95"/>
        <v>2</v>
      </c>
      <c r="I236" s="23">
        <f t="shared" si="95"/>
        <v>4</v>
      </c>
      <c r="J236" s="23">
        <f t="shared" si="95"/>
        <v>6</v>
      </c>
      <c r="K236" s="23">
        <f t="shared" si="95"/>
        <v>8</v>
      </c>
      <c r="L236" s="23"/>
      <c r="M236" s="13"/>
      <c r="AI236" s="184"/>
      <c r="AJ236" s="184"/>
      <c r="AK236" s="184"/>
      <c r="AL236" s="184"/>
      <c r="AM236" s="184"/>
      <c r="AN236" s="184"/>
      <c r="AO236" s="184"/>
      <c r="AP236" s="184"/>
      <c r="AQ236" s="184"/>
      <c r="AR236" s="184"/>
      <c r="AS236" s="184"/>
      <c r="AT236" s="184"/>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row>
    <row r="237" spans="1:69" x14ac:dyDescent="0.3">
      <c r="B237" s="7"/>
      <c r="D237" s="18" t="s">
        <v>1043</v>
      </c>
      <c r="E237" s="19">
        <v>3</v>
      </c>
      <c r="G237" s="23">
        <v>1</v>
      </c>
      <c r="H237" s="23">
        <f t="shared" si="95"/>
        <v>1</v>
      </c>
      <c r="I237" s="23">
        <f t="shared" si="95"/>
        <v>2</v>
      </c>
      <c r="J237" s="23">
        <f t="shared" si="95"/>
        <v>3</v>
      </c>
      <c r="K237" s="23">
        <f t="shared" si="95"/>
        <v>4</v>
      </c>
      <c r="L237" s="23"/>
      <c r="M237" s="13"/>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row>
    <row r="238" spans="1:69" x14ac:dyDescent="0.3">
      <c r="B238" s="7"/>
      <c r="D238" s="18" t="s">
        <v>1044</v>
      </c>
      <c r="E238" s="19">
        <v>4</v>
      </c>
      <c r="G238" s="23"/>
      <c r="H238" s="23">
        <v>1</v>
      </c>
      <c r="I238" s="23">
        <v>2</v>
      </c>
      <c r="J238" s="23">
        <v>3</v>
      </c>
      <c r="K238" s="23">
        <v>4</v>
      </c>
      <c r="L238" s="23"/>
      <c r="M238" s="13"/>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row>
    <row r="239" spans="1:69" x14ac:dyDescent="0.3">
      <c r="B239" s="7"/>
      <c r="C239" s="7"/>
      <c r="D239" s="7"/>
      <c r="E239" s="7"/>
      <c r="F239" s="7"/>
      <c r="G239" s="23"/>
      <c r="H239" s="23"/>
      <c r="I239" s="23"/>
      <c r="J239" s="23"/>
      <c r="K239" s="23"/>
      <c r="L239" s="23"/>
      <c r="M239" s="13"/>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row>
    <row r="240" spans="1:69" ht="15.6" x14ac:dyDescent="0.3">
      <c r="A240" s="3" t="s">
        <v>1027</v>
      </c>
      <c r="B240" s="4" t="s">
        <v>1046</v>
      </c>
      <c r="C240" s="4"/>
      <c r="D240" s="2"/>
      <c r="E240" s="2"/>
      <c r="F240" s="2"/>
      <c r="G240" s="2"/>
      <c r="H240" s="5"/>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row>
    <row r="241" spans="1:69" x14ac:dyDescent="0.3">
      <c r="A241" s="2"/>
      <c r="B241" s="2"/>
      <c r="C241" s="2"/>
      <c r="D241" s="2"/>
      <c r="E241" s="2"/>
      <c r="F241" s="2"/>
      <c r="G241" s="2"/>
      <c r="H241" s="2"/>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row>
    <row r="242" spans="1:69" ht="74.400000000000006" customHeight="1" x14ac:dyDescent="0.3">
      <c r="A242" s="2"/>
      <c r="B242" s="205" t="s">
        <v>1553</v>
      </c>
      <c r="C242" s="205"/>
      <c r="D242" s="205"/>
      <c r="E242" s="205"/>
      <c r="F242" s="205"/>
      <c r="G242" s="205"/>
      <c r="H242" s="205"/>
      <c r="I242" s="205"/>
      <c r="J242" s="205"/>
      <c r="K242" s="205"/>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row>
    <row r="243" spans="1:69" x14ac:dyDescent="0.3">
      <c r="A243" s="2"/>
      <c r="B243" s="2"/>
      <c r="C243" s="2"/>
      <c r="D243" s="2"/>
      <c r="E243" s="2"/>
      <c r="F243" s="2"/>
      <c r="G243" s="2"/>
      <c r="H243" s="2"/>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row>
    <row r="244" spans="1:69" ht="29.4" customHeight="1" x14ac:dyDescent="0.3">
      <c r="A244" s="12">
        <v>5.01</v>
      </c>
      <c r="B244" s="192" t="s">
        <v>1557</v>
      </c>
      <c r="C244" s="193"/>
      <c r="D244" s="189"/>
      <c r="E244" s="190"/>
      <c r="F244" s="190"/>
      <c r="G244" s="190"/>
      <c r="H244" s="190"/>
      <c r="I244" s="190"/>
      <c r="J244" s="190"/>
      <c r="K244" s="191"/>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row>
    <row r="245" spans="1:69" ht="31.2" customHeight="1" x14ac:dyDescent="0.3">
      <c r="A245" s="12">
        <f>MAX($A$240:$A244)+0.01</f>
        <v>5.0199999999999996</v>
      </c>
      <c r="B245" s="192" t="s">
        <v>1555</v>
      </c>
      <c r="C245" s="193"/>
      <c r="D245" s="189"/>
      <c r="E245" s="190"/>
      <c r="F245" s="190"/>
      <c r="G245" s="190"/>
      <c r="H245" s="190"/>
      <c r="I245" s="190"/>
      <c r="J245" s="190"/>
      <c r="K245" s="191"/>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row>
    <row r="246" spans="1:69" ht="31.95" customHeight="1" x14ac:dyDescent="0.3">
      <c r="A246" s="12">
        <f>MAX($A$240:$A245)+0.01</f>
        <v>5.0299999999999994</v>
      </c>
      <c r="B246" s="192" t="s">
        <v>1556</v>
      </c>
      <c r="C246" s="193"/>
      <c r="D246" s="189"/>
      <c r="E246" s="190"/>
      <c r="F246" s="190"/>
      <c r="G246" s="190"/>
      <c r="H246" s="190"/>
      <c r="I246" s="190"/>
      <c r="J246" s="190"/>
      <c r="K246" s="191"/>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row>
    <row r="247" spans="1:69" ht="33.6" customHeight="1" x14ac:dyDescent="0.3">
      <c r="A247" s="12">
        <f>MAX($A$240:$A246)+0.01</f>
        <v>5.0399999999999991</v>
      </c>
      <c r="B247" s="192" t="s">
        <v>1452</v>
      </c>
      <c r="C247" s="193"/>
      <c r="D247" s="189"/>
      <c r="E247" s="190"/>
      <c r="F247" s="190"/>
      <c r="G247" s="190"/>
      <c r="H247" s="190"/>
      <c r="I247" s="190"/>
      <c r="J247" s="190"/>
      <c r="K247" s="191"/>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row>
    <row r="248" spans="1:69" x14ac:dyDescent="0.3">
      <c r="A248" s="12"/>
      <c r="B248" s="2"/>
      <c r="C248" s="2"/>
      <c r="D248" s="2"/>
      <c r="E248" s="2"/>
      <c r="F248" s="2"/>
      <c r="G248" s="2"/>
      <c r="H248" s="2"/>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row>
    <row r="249" spans="1:69" ht="27" customHeight="1" x14ac:dyDescent="0.3">
      <c r="A249" s="12">
        <f>MAX($A$240:$A248)+0.01</f>
        <v>5.0499999999999989</v>
      </c>
      <c r="B249" s="192" t="s">
        <v>1558</v>
      </c>
      <c r="C249" s="193"/>
      <c r="D249" s="2" t="str">
        <f>IF(LEFT($D$16,2)="Ja",IF(IFERROR(FIND("Hoch",_xlfn.CONCAT($R$104:$R$194)),0)&gt;0,"Ja","Nein"),"Nicht anwendbar")</f>
        <v>Nein</v>
      </c>
      <c r="E249" s="2"/>
      <c r="F249" s="49" t="s">
        <v>1564</v>
      </c>
      <c r="G249" s="2"/>
      <c r="H249" s="2"/>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row>
    <row r="250" spans="1:69" x14ac:dyDescent="0.3">
      <c r="A250" s="12"/>
      <c r="B250" s="2"/>
      <c r="C250" s="2"/>
      <c r="D250" s="2"/>
      <c r="E250" s="2"/>
      <c r="F250" s="2"/>
      <c r="G250" s="2"/>
      <c r="H250" s="2"/>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row>
    <row r="251" spans="1:69" x14ac:dyDescent="0.3">
      <c r="A251" s="12">
        <f>MAX($A$240:$A250)+0.01</f>
        <v>5.0599999999999987</v>
      </c>
      <c r="B251" s="192" t="s">
        <v>1559</v>
      </c>
      <c r="C251" s="193"/>
      <c r="D251" s="9" t="s">
        <v>1050</v>
      </c>
      <c r="E251" s="2"/>
      <c r="F251" s="49" t="s">
        <v>1563</v>
      </c>
      <c r="G251" s="2"/>
      <c r="H251" s="2"/>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row>
    <row r="252" spans="1:69" x14ac:dyDescent="0.3">
      <c r="A252" s="12"/>
      <c r="B252" s="2"/>
      <c r="C252" s="2"/>
      <c r="D252" s="2"/>
      <c r="E252" s="2"/>
      <c r="F252" s="2"/>
      <c r="G252" s="2"/>
      <c r="H252" s="2"/>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row>
    <row r="253" spans="1:69" x14ac:dyDescent="0.3">
      <c r="A253" s="12">
        <f>MAX($A$240:$A252)+0.01</f>
        <v>5.0699999999999985</v>
      </c>
      <c r="B253" s="192" t="s">
        <v>1560</v>
      </c>
      <c r="C253" s="193"/>
      <c r="D253" s="90" t="s">
        <v>1050</v>
      </c>
      <c r="E253" s="2"/>
      <c r="F253" s="2"/>
      <c r="G253" s="2"/>
      <c r="H253" s="2"/>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row>
    <row r="254" spans="1:69" x14ac:dyDescent="0.3">
      <c r="A254" s="12">
        <f>MAX($A$240:$A253)+0.01</f>
        <v>5.0799999999999983</v>
      </c>
      <c r="B254" s="192" t="s">
        <v>1561</v>
      </c>
      <c r="C254" s="193"/>
      <c r="D254" s="90" t="s">
        <v>1050</v>
      </c>
      <c r="E254" s="2"/>
      <c r="F254" s="2"/>
      <c r="G254" s="2"/>
      <c r="H254" s="2"/>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row>
    <row r="255" spans="1:69" x14ac:dyDescent="0.3">
      <c r="A255" s="12"/>
      <c r="B255" s="40"/>
      <c r="C255" s="41"/>
      <c r="D255" s="2"/>
      <c r="E255" s="2"/>
      <c r="F255" s="2"/>
      <c r="G255" s="2"/>
      <c r="H255" s="2"/>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row>
    <row r="256" spans="1:69" ht="41.7" customHeight="1" x14ac:dyDescent="0.3">
      <c r="A256" s="12">
        <f>MAX($A$240:$A254)+0.01</f>
        <v>5.0899999999999981</v>
      </c>
      <c r="B256" s="192" t="s">
        <v>1562</v>
      </c>
      <c r="C256" s="193"/>
      <c r="D256" s="189"/>
      <c r="E256" s="190"/>
      <c r="F256" s="190"/>
      <c r="G256" s="190"/>
      <c r="H256" s="190"/>
      <c r="I256" s="190"/>
      <c r="J256" s="190"/>
      <c r="K256" s="191"/>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row>
    <row r="257" spans="1:69" ht="45" customHeight="1" x14ac:dyDescent="0.3">
      <c r="A257" s="12">
        <f>MAX($A$240:$A256)+0.01</f>
        <v>5.0999999999999979</v>
      </c>
      <c r="B257" s="192" t="s">
        <v>1453</v>
      </c>
      <c r="C257" s="193"/>
      <c r="D257" s="189"/>
      <c r="E257" s="190"/>
      <c r="F257" s="190"/>
      <c r="G257" s="190"/>
      <c r="H257" s="190"/>
      <c r="I257" s="190"/>
      <c r="J257" s="190"/>
      <c r="K257" s="191"/>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row>
    <row r="258" spans="1:69" x14ac:dyDescent="0.3">
      <c r="B258" s="7"/>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row>
    <row r="259" spans="1:69" x14ac:dyDescent="0.3">
      <c r="D259" s="20" t="str">
        <f>"Bitte wiederholen Sie diese Risikobeurteilung sobald die Anwendung wesentlich geändert wird, spätestens aber bis zum "&amp;IFERROR(TEXT(EDATE($F$9,$G$99*12),"[$-409]T. MMMM, JJJJ"),"[bitte das Datum in Zelle F7 einfügen]")&amp;"."</f>
        <v>Bitte wiederholen Sie diese Risikobeurteilung sobald die Anwendung wesentlich geändert wird, spätestens aber bis zum 1. April, 2027.</v>
      </c>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row>
    <row r="260" spans="1:69" x14ac:dyDescent="0.3">
      <c r="B260" s="7"/>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row>
    <row r="262" spans="1:69" x14ac:dyDescent="0.3">
      <c r="B262" t="s">
        <v>1224</v>
      </c>
    </row>
    <row r="264" spans="1:69" ht="30.6" customHeight="1" x14ac:dyDescent="0.3">
      <c r="A264" s="221" t="s">
        <v>1049</v>
      </c>
      <c r="B264" s="221"/>
      <c r="C264" s="221"/>
      <c r="D264" s="221"/>
      <c r="E264" s="221"/>
      <c r="F264" s="221"/>
      <c r="G264" s="221"/>
      <c r="H264" s="221"/>
      <c r="I264" s="221"/>
    </row>
    <row r="265" spans="1:69" ht="47.4" customHeight="1" x14ac:dyDescent="0.3">
      <c r="A265" s="221" t="s">
        <v>1307</v>
      </c>
      <c r="B265" s="221"/>
      <c r="C265" s="221"/>
      <c r="D265" s="221"/>
      <c r="E265" s="221"/>
      <c r="F265" s="221"/>
      <c r="G265" s="221"/>
      <c r="H265" s="221"/>
      <c r="I265" s="221"/>
    </row>
  </sheetData>
  <sheetProtection sheet="1" objects="1" scenarios="1" formatCells="0" formatColumns="0" formatRows="0" insertRows="0" deleteRows="0"/>
  <protectedRanges>
    <protectedRange sqref="B191:C194 I170:I194 K170:K194 M170:M194 S170:U194 D199:D203 D206:D210 D213:D217 D220:D224 D227:D231 D234:D238 N206 N213 N220 N227 N234:N235 D244:D247 D251 D253:D254 D256:D257 D170:G194 O170:P194" name="Bereich4"/>
    <protectedRange sqref="I143:I153 K143:K153 M143:M153 S149:U153 B165:C168 O143:P153 S143:S148 T130 I155:I168 K155:K168 M155:M168 S155:U168 D155:G168 O155:P168" name="Bereich3"/>
    <protectedRange sqref="B138:C141 D143:G153 B150:C153 S122:U129 T143:U148 S130 U130 O104:P120 S104:U120 I122:I141 K122:K141 M122:M141 D122:G141 O122:P141 S131:U141" name="Bereich2"/>
    <protectedRange sqref="D39 D49:D50 D99 G99 L99 B57:H86 I104:I120 K104:K120 M104:M120 O104:P120 D104:G120 S104:U120 D36:H37" name="Bereich1"/>
    <protectedRange sqref="D6:D9 F9 D11 D13:D14" name="Bereich1_2"/>
    <protectedRange sqref="D22:D24 D26:D35" name="Bereich1_3"/>
  </protectedRanges>
  <mergeCells count="158">
    <mergeCell ref="B257:C257"/>
    <mergeCell ref="D257:K257"/>
    <mergeCell ref="A264:I264"/>
    <mergeCell ref="A265:I265"/>
    <mergeCell ref="A13:C13"/>
    <mergeCell ref="A14:C14"/>
    <mergeCell ref="D29:H29"/>
    <mergeCell ref="B39:C39"/>
    <mergeCell ref="B88:C92"/>
    <mergeCell ref="B249:C249"/>
    <mergeCell ref="B251:C251"/>
    <mergeCell ref="B253:C253"/>
    <mergeCell ref="B254:C254"/>
    <mergeCell ref="B256:C256"/>
    <mergeCell ref="D256:K256"/>
    <mergeCell ref="B245:C245"/>
    <mergeCell ref="D245:K245"/>
    <mergeCell ref="B246:C246"/>
    <mergeCell ref="D246:K246"/>
    <mergeCell ref="B247:C247"/>
    <mergeCell ref="D247:K247"/>
    <mergeCell ref="B42:C42"/>
    <mergeCell ref="B47:H47"/>
    <mergeCell ref="B49:C49"/>
    <mergeCell ref="BJ199:BJ203"/>
    <mergeCell ref="B206:C206"/>
    <mergeCell ref="B213:C213"/>
    <mergeCell ref="B242:K242"/>
    <mergeCell ref="B244:C244"/>
    <mergeCell ref="D244:K244"/>
    <mergeCell ref="BD199:BD203"/>
    <mergeCell ref="BE199:BE203"/>
    <mergeCell ref="BF199:BF203"/>
    <mergeCell ref="BG199:BG203"/>
    <mergeCell ref="BH199:BH203"/>
    <mergeCell ref="BI199:BI203"/>
    <mergeCell ref="AX199:AX203"/>
    <mergeCell ref="AY199:AY203"/>
    <mergeCell ref="AZ199:AZ203"/>
    <mergeCell ref="BA199:BA203"/>
    <mergeCell ref="BB199:BB203"/>
    <mergeCell ref="BC199:BC203"/>
    <mergeCell ref="AR199:AR203"/>
    <mergeCell ref="AS199:AS203"/>
    <mergeCell ref="AT199:AT203"/>
    <mergeCell ref="AU199:AU203"/>
    <mergeCell ref="AV199:AV203"/>
    <mergeCell ref="AW199:AW203"/>
    <mergeCell ref="AL199:AL203"/>
    <mergeCell ref="AM199:AM203"/>
    <mergeCell ref="AN199:AN203"/>
    <mergeCell ref="AO199:AO203"/>
    <mergeCell ref="AP199:AP203"/>
    <mergeCell ref="AQ199:AQ203"/>
    <mergeCell ref="B154:U154"/>
    <mergeCell ref="B169:U169"/>
    <mergeCell ref="B197:H197"/>
    <mergeCell ref="AI199:AI203"/>
    <mergeCell ref="AJ199:AJ203"/>
    <mergeCell ref="AK199:AK203"/>
    <mergeCell ref="U101:U102"/>
    <mergeCell ref="W102:AA102"/>
    <mergeCell ref="AB102:AF102"/>
    <mergeCell ref="B103:U103"/>
    <mergeCell ref="B121:U121"/>
    <mergeCell ref="B142:U142"/>
    <mergeCell ref="K101:L101"/>
    <mergeCell ref="M101:N101"/>
    <mergeCell ref="O101:O102"/>
    <mergeCell ref="P101:Q101"/>
    <mergeCell ref="S101:S102"/>
    <mergeCell ref="T101:T102"/>
    <mergeCell ref="C101:C102"/>
    <mergeCell ref="D101:D102"/>
    <mergeCell ref="E101:E102"/>
    <mergeCell ref="F101:F102"/>
    <mergeCell ref="G101:H101"/>
    <mergeCell ref="I101:J101"/>
    <mergeCell ref="AW94:AW100"/>
    <mergeCell ref="AX94:AX100"/>
    <mergeCell ref="AY94:AY100"/>
    <mergeCell ref="AZ94:AZ100"/>
    <mergeCell ref="AO94:AO100"/>
    <mergeCell ref="AP94:AP100"/>
    <mergeCell ref="AQ94:AQ100"/>
    <mergeCell ref="AR94:AR100"/>
    <mergeCell ref="AS94:AS100"/>
    <mergeCell ref="AT94:AT100"/>
    <mergeCell ref="B54:H54"/>
    <mergeCell ref="AM93:AX93"/>
    <mergeCell ref="AY93:BJ93"/>
    <mergeCell ref="AI94:AI100"/>
    <mergeCell ref="AJ94:AJ100"/>
    <mergeCell ref="AK94:AK100"/>
    <mergeCell ref="AL94:AL100"/>
    <mergeCell ref="AM94:AM100"/>
    <mergeCell ref="AN94:AN100"/>
    <mergeCell ref="BG94:BG100"/>
    <mergeCell ref="BH94:BH100"/>
    <mergeCell ref="BI94:BI100"/>
    <mergeCell ref="BJ94:BJ100"/>
    <mergeCell ref="B97:H97"/>
    <mergeCell ref="B99:C99"/>
    <mergeCell ref="L99:U99"/>
    <mergeCell ref="BA94:BA100"/>
    <mergeCell ref="BB94:BB100"/>
    <mergeCell ref="BC94:BC100"/>
    <mergeCell ref="BD94:BD100"/>
    <mergeCell ref="BE94:BE100"/>
    <mergeCell ref="BF94:BF100"/>
    <mergeCell ref="AU94:AU100"/>
    <mergeCell ref="AV94:AV100"/>
    <mergeCell ref="D49:H49"/>
    <mergeCell ref="B50:C50"/>
    <mergeCell ref="D50:H50"/>
    <mergeCell ref="B36:C36"/>
    <mergeCell ref="D36:H36"/>
    <mergeCell ref="B37:C37"/>
    <mergeCell ref="D37:H37"/>
    <mergeCell ref="D39:H39"/>
    <mergeCell ref="B41:C41"/>
    <mergeCell ref="B33:C33"/>
    <mergeCell ref="D33:H33"/>
    <mergeCell ref="B34:C34"/>
    <mergeCell ref="D34:H34"/>
    <mergeCell ref="B35:C35"/>
    <mergeCell ref="D35:H35"/>
    <mergeCell ref="B29:C29"/>
    <mergeCell ref="B30:C30"/>
    <mergeCell ref="D30:H30"/>
    <mergeCell ref="B31:C31"/>
    <mergeCell ref="D31:H31"/>
    <mergeCell ref="B32:C32"/>
    <mergeCell ref="D32:H32"/>
    <mergeCell ref="B26:C26"/>
    <mergeCell ref="D26:H26"/>
    <mergeCell ref="B27:C27"/>
    <mergeCell ref="D27:H27"/>
    <mergeCell ref="B28:C28"/>
    <mergeCell ref="D28:H28"/>
    <mergeCell ref="B23:C23"/>
    <mergeCell ref="D23:H23"/>
    <mergeCell ref="B24:C24"/>
    <mergeCell ref="D24:H24"/>
    <mergeCell ref="B25:C25"/>
    <mergeCell ref="D25:H25"/>
    <mergeCell ref="A1:E1"/>
    <mergeCell ref="D11:F11"/>
    <mergeCell ref="D13:F13"/>
    <mergeCell ref="D14:F14"/>
    <mergeCell ref="B20:H20"/>
    <mergeCell ref="B22:C22"/>
    <mergeCell ref="D22:H22"/>
    <mergeCell ref="A2:E2"/>
    <mergeCell ref="A4:F4"/>
    <mergeCell ref="D6:F6"/>
    <mergeCell ref="D7:F7"/>
    <mergeCell ref="D8:F8"/>
  </mergeCells>
  <conditionalFormatting sqref="D249">
    <cfRule type="cellIs" dxfId="66" priority="42" operator="equal">
      <formula>"Nein"</formula>
    </cfRule>
    <cfRule type="cellIs" dxfId="65" priority="41" operator="equal">
      <formula>"Ja"</formula>
    </cfRule>
  </conditionalFormatting>
  <conditionalFormatting sqref="D251">
    <cfRule type="cellIs" dxfId="64" priority="15" operator="equal">
      <formula>"Hoch"</formula>
    </cfRule>
    <cfRule type="cellIs" dxfId="63" priority="14" operator="equal">
      <formula>"Sehr hoch"</formula>
    </cfRule>
    <cfRule type="cellIs" dxfId="62" priority="16" operator="equal">
      <formula>"Mittel"</formula>
    </cfRule>
    <cfRule type="cellIs" dxfId="61" priority="17" operator="equal">
      <formula>"Tief"</formula>
    </cfRule>
  </conditionalFormatting>
  <conditionalFormatting sqref="D253:D254">
    <cfRule type="cellIs" dxfId="60" priority="58" operator="equal">
      <formula>"Nein"</formula>
    </cfRule>
    <cfRule type="cellIs" dxfId="59" priority="57" operator="equal">
      <formula>"Ja"</formula>
    </cfRule>
  </conditionalFormatting>
  <conditionalFormatting sqref="E57:E86 E88">
    <cfRule type="cellIs" dxfId="58" priority="35" operator="equal">
      <formula>$E$88</formula>
    </cfRule>
  </conditionalFormatting>
  <conditionalFormatting sqref="E57:E86 E89">
    <cfRule type="cellIs" dxfId="57" priority="18" operator="equal">
      <formula>$E$89</formula>
    </cfRule>
  </conditionalFormatting>
  <conditionalFormatting sqref="E57:E86 E90">
    <cfRule type="cellIs" dxfId="56" priority="34" operator="equal">
      <formula>$E$90</formula>
    </cfRule>
  </conditionalFormatting>
  <conditionalFormatting sqref="E57:E86 E91">
    <cfRule type="cellIs" dxfId="55" priority="33" operator="equal">
      <formula>$E$91</formula>
    </cfRule>
  </conditionalFormatting>
  <conditionalFormatting sqref="E57:E86 E92">
    <cfRule type="cellIs" dxfId="54" priority="32" operator="equal">
      <formula>$E$92</formula>
    </cfRule>
  </conditionalFormatting>
  <conditionalFormatting sqref="H104:H120 H122:H141">
    <cfRule type="colorScale" priority="52">
      <colorScale>
        <cfvo type="num" val="$H$209"/>
        <cfvo type="num" val="$N$206"/>
        <cfvo type="num" val="16"/>
        <color rgb="FF63BE7B"/>
        <color rgb="FFFFEB84"/>
        <color rgb="FFF8696B"/>
      </colorScale>
    </cfRule>
  </conditionalFormatting>
  <conditionalFormatting sqref="H123:H141">
    <cfRule type="colorScale" priority="47">
      <colorScale>
        <cfvo type="num" val="$H$209"/>
        <cfvo type="num" val="$N$206"/>
        <cfvo type="num" val="16"/>
        <color rgb="FF63BE7B"/>
        <color rgb="FFFFEB84"/>
        <color rgb="FFF8696B"/>
      </colorScale>
    </cfRule>
  </conditionalFormatting>
  <conditionalFormatting sqref="H143:H145 H177:H194 H155:H168">
    <cfRule type="colorScale" priority="44">
      <colorScale>
        <cfvo type="num" val="$H$209"/>
        <cfvo type="num" val="$N$206"/>
        <cfvo type="num" val="16"/>
        <color rgb="FF63BE7B"/>
        <color rgb="FFFFEB84"/>
        <color rgb="FFF8696B"/>
      </colorScale>
    </cfRule>
    <cfRule type="colorScale" priority="43">
      <colorScale>
        <cfvo type="num" val="$H$209"/>
        <cfvo type="num" val="$N$206"/>
        <cfvo type="num" val="16"/>
        <color rgb="FF63BE7B"/>
        <color rgb="FFFFEB84"/>
        <color rgb="FFF8696B"/>
      </colorScale>
    </cfRule>
  </conditionalFormatting>
  <conditionalFormatting sqref="H146:H153">
    <cfRule type="colorScale" priority="46">
      <colorScale>
        <cfvo type="num" val="$H$209"/>
        <cfvo type="num" val="$N$206"/>
        <cfvo type="num" val="16"/>
        <color rgb="FF63BE7B"/>
        <color rgb="FFFFEB84"/>
        <color rgb="FFF8696B"/>
      </colorScale>
    </cfRule>
    <cfRule type="colorScale" priority="45">
      <colorScale>
        <cfvo type="num" val="$H$209"/>
        <cfvo type="num" val="$N$206"/>
        <cfvo type="num" val="16"/>
        <color rgb="FF63BE7B"/>
        <color rgb="FFFFEB84"/>
        <color rgb="FFF8696B"/>
      </colorScale>
    </cfRule>
  </conditionalFormatting>
  <conditionalFormatting sqref="H170:H172">
    <cfRule type="colorScale" priority="25">
      <colorScale>
        <cfvo type="num" val="$H$209"/>
        <cfvo type="num" val="$N$206"/>
        <cfvo type="num" val="16"/>
        <color rgb="FF63BE7B"/>
        <color rgb="FFFFEB84"/>
        <color rgb="FFF8696B"/>
      </colorScale>
    </cfRule>
  </conditionalFormatting>
  <conditionalFormatting sqref="H170:H194 J170:J194 L170:L194 N170:N194">
    <cfRule type="cellIs" dxfId="53" priority="19" operator="equal">
      <formula>0</formula>
    </cfRule>
  </conditionalFormatting>
  <conditionalFormatting sqref="H173:H176">
    <cfRule type="colorScale" priority="20">
      <colorScale>
        <cfvo type="num" val="$H$209"/>
        <cfvo type="num" val="$N$206"/>
        <cfvo type="num" val="16"/>
        <color rgb="FF63BE7B"/>
        <color rgb="FFFFEB84"/>
        <color rgb="FFF8696B"/>
      </colorScale>
    </cfRule>
  </conditionalFormatting>
  <conditionalFormatting sqref="H206:K209">
    <cfRule type="colorScale" priority="59">
      <colorScale>
        <cfvo type="num" val="$H$209"/>
        <cfvo type="num" val="$N$206"/>
        <cfvo type="num" val="16"/>
        <color rgb="FF63BE7B"/>
        <color rgb="FFFFEB84"/>
        <color rgb="FFF8696B"/>
      </colorScale>
    </cfRule>
  </conditionalFormatting>
  <conditionalFormatting sqref="H213:K216 J143:J153 J177:J194 J104:J120 J155:J168">
    <cfRule type="colorScale" priority="60">
      <colorScale>
        <cfvo type="num" val="$H$216"/>
        <cfvo type="num" val="$N$213"/>
        <cfvo type="num" val="16"/>
        <color rgb="FF63BE7B"/>
        <color rgb="FFFFEB84"/>
        <color rgb="FFF8696B"/>
      </colorScale>
    </cfRule>
  </conditionalFormatting>
  <conditionalFormatting sqref="H220:K223 L143:L153 L177:L194 L104:L120 L155:L168">
    <cfRule type="colorScale" priority="62">
      <colorScale>
        <cfvo type="num" val="$H$223"/>
        <cfvo type="num" val="$N$220"/>
        <cfvo type="num" val="16"/>
        <color rgb="FF63BE7B"/>
        <color rgb="FFFFEB84"/>
        <color rgb="FFF8696B"/>
      </colorScale>
    </cfRule>
  </conditionalFormatting>
  <conditionalFormatting sqref="H227:K230 N143:N153 N177:N194 N104:N120 N155:N168">
    <cfRule type="colorScale" priority="61">
      <colorScale>
        <cfvo type="num" val="$H$230"/>
        <cfvo type="num" val="$N$227"/>
        <cfvo type="num" val="16"/>
        <color rgb="FF63BE7B"/>
        <color rgb="FFFFEB84"/>
        <color rgb="FFF8696B"/>
      </colorScale>
    </cfRule>
  </conditionalFormatting>
  <conditionalFormatting sqref="H234:K237 Q146:Q153 Q177:Q194 R170:R194 Q104:R120 R122:R141 Q155:R168">
    <cfRule type="colorScale" priority="56">
      <colorScale>
        <cfvo type="num" val="$H$237"/>
        <cfvo type="num" val="$N$234"/>
        <cfvo type="num" val="16"/>
        <color rgb="FF63BE7B"/>
        <color rgb="FFFFEB84"/>
        <color rgb="FFF8696B"/>
      </colorScale>
    </cfRule>
  </conditionalFormatting>
  <conditionalFormatting sqref="J122">
    <cfRule type="colorScale" priority="53">
      <colorScale>
        <cfvo type="num" val="$H$216"/>
        <cfvo type="num" val="$N$213"/>
        <cfvo type="num" val="16"/>
        <color rgb="FF63BE7B"/>
        <color rgb="FFFFEB84"/>
        <color rgb="FFF8696B"/>
      </colorScale>
    </cfRule>
  </conditionalFormatting>
  <conditionalFormatting sqref="J123:J141">
    <cfRule type="colorScale" priority="48">
      <colorScale>
        <cfvo type="num" val="$H$216"/>
        <cfvo type="num" val="$N$213"/>
        <cfvo type="num" val="16"/>
        <color rgb="FF63BE7B"/>
        <color rgb="FFFFEB84"/>
        <color rgb="FFF8696B"/>
      </colorScale>
    </cfRule>
  </conditionalFormatting>
  <conditionalFormatting sqref="J170:J172">
    <cfRule type="colorScale" priority="27">
      <colorScale>
        <cfvo type="num" val="$H$216"/>
        <cfvo type="num" val="$N$213"/>
        <cfvo type="num" val="16"/>
        <color rgb="FF63BE7B"/>
        <color rgb="FFFFEB84"/>
        <color rgb="FFF8696B"/>
      </colorScale>
    </cfRule>
  </conditionalFormatting>
  <conditionalFormatting sqref="J173:J176">
    <cfRule type="colorScale" priority="22">
      <colorScale>
        <cfvo type="num" val="$H$216"/>
        <cfvo type="num" val="$N$213"/>
        <cfvo type="num" val="16"/>
        <color rgb="FF63BE7B"/>
        <color rgb="FFFFEB84"/>
        <color rgb="FFF8696B"/>
      </colorScale>
    </cfRule>
  </conditionalFormatting>
  <conditionalFormatting sqref="L122">
    <cfRule type="colorScale" priority="55">
      <colorScale>
        <cfvo type="num" val="$H$223"/>
        <cfvo type="num" val="$N$220"/>
        <cfvo type="num" val="16"/>
        <color rgb="FF63BE7B"/>
        <color rgb="FFFFEB84"/>
        <color rgb="FFF8696B"/>
      </colorScale>
    </cfRule>
  </conditionalFormatting>
  <conditionalFormatting sqref="L123:L141">
    <cfRule type="colorScale" priority="50">
      <colorScale>
        <cfvo type="num" val="$H$223"/>
        <cfvo type="num" val="$N$220"/>
        <cfvo type="num" val="16"/>
        <color rgb="FF63BE7B"/>
        <color rgb="FFFFEB84"/>
        <color rgb="FFF8696B"/>
      </colorScale>
    </cfRule>
  </conditionalFormatting>
  <conditionalFormatting sqref="L170:L172">
    <cfRule type="colorScale" priority="29">
      <colorScale>
        <cfvo type="num" val="$H$223"/>
        <cfvo type="num" val="$N$220"/>
        <cfvo type="num" val="16"/>
        <color rgb="FF63BE7B"/>
        <color rgb="FFFFEB84"/>
        <color rgb="FFF8696B"/>
      </colorScale>
    </cfRule>
  </conditionalFormatting>
  <conditionalFormatting sqref="L173:L176">
    <cfRule type="colorScale" priority="24">
      <colorScale>
        <cfvo type="num" val="$H$223"/>
        <cfvo type="num" val="$N$220"/>
        <cfvo type="num" val="16"/>
        <color rgb="FF63BE7B"/>
        <color rgb="FFFFEB84"/>
        <color rgb="FFF8696B"/>
      </colorScale>
    </cfRule>
  </conditionalFormatting>
  <conditionalFormatting sqref="N122:N141">
    <cfRule type="colorScale" priority="54">
      <colorScale>
        <cfvo type="num" val="$H$230"/>
        <cfvo type="num" val="$N$227"/>
        <cfvo type="num" val="16"/>
        <color rgb="FF63BE7B"/>
        <color rgb="FFFFEB84"/>
        <color rgb="FFF8696B"/>
      </colorScale>
    </cfRule>
  </conditionalFormatting>
  <conditionalFormatting sqref="N123:N141">
    <cfRule type="colorScale" priority="49">
      <colorScale>
        <cfvo type="num" val="$H$230"/>
        <cfvo type="num" val="$N$227"/>
        <cfvo type="num" val="16"/>
        <color rgb="FF63BE7B"/>
        <color rgb="FFFFEB84"/>
        <color rgb="FFF8696B"/>
      </colorScale>
    </cfRule>
  </conditionalFormatting>
  <conditionalFormatting sqref="N170:N172">
    <cfRule type="colorScale" priority="28">
      <colorScale>
        <cfvo type="num" val="$H$230"/>
        <cfvo type="num" val="$N$227"/>
        <cfvo type="num" val="16"/>
        <color rgb="FF63BE7B"/>
        <color rgb="FFFFEB84"/>
        <color rgb="FFF8696B"/>
      </colorScale>
    </cfRule>
  </conditionalFormatting>
  <conditionalFormatting sqref="N173:N176">
    <cfRule type="colorScale" priority="23">
      <colorScale>
        <cfvo type="num" val="$H$230"/>
        <cfvo type="num" val="$N$227"/>
        <cfvo type="num" val="16"/>
        <color rgb="FF63BE7B"/>
        <color rgb="FFFFEB84"/>
        <color rgb="FFF8696B"/>
      </colorScale>
    </cfRule>
  </conditionalFormatting>
  <conditionalFormatting sqref="Q122:Q141">
    <cfRule type="colorScale" priority="51">
      <colorScale>
        <cfvo type="num" val="$H$237"/>
        <cfvo type="num" val="$N$234"/>
        <cfvo type="num" val="16"/>
        <color rgb="FF63BE7B"/>
        <color rgb="FFFFEB84"/>
        <color rgb="FFF8696B"/>
      </colorScale>
    </cfRule>
  </conditionalFormatting>
  <conditionalFormatting sqref="Q143">
    <cfRule type="colorScale" priority="38">
      <colorScale>
        <cfvo type="num" val="$H$237"/>
        <cfvo type="num" val="$N$234"/>
        <cfvo type="num" val="16"/>
        <color rgb="FF63BE7B"/>
        <color rgb="FFFFEB84"/>
        <color rgb="FFF8696B"/>
      </colorScale>
    </cfRule>
  </conditionalFormatting>
  <conditionalFormatting sqref="Q144:Q145">
    <cfRule type="colorScale" priority="39">
      <colorScale>
        <cfvo type="num" val="$H$237"/>
        <cfvo type="num" val="$N$234"/>
        <cfvo type="num" val="16"/>
        <color rgb="FF63BE7B"/>
        <color rgb="FFFFEB84"/>
        <color rgb="FFF8696B"/>
      </colorScale>
    </cfRule>
  </conditionalFormatting>
  <conditionalFormatting sqref="Q170:Q172">
    <cfRule type="colorScale" priority="26">
      <colorScale>
        <cfvo type="num" val="$H$237"/>
        <cfvo type="num" val="$N$234"/>
        <cfvo type="num" val="16"/>
        <color rgb="FF63BE7B"/>
        <color rgb="FFFFEB84"/>
        <color rgb="FFF8696B"/>
      </colorScale>
    </cfRule>
  </conditionalFormatting>
  <conditionalFormatting sqref="Q173:Q176">
    <cfRule type="colorScale" priority="21">
      <colorScale>
        <cfvo type="num" val="$H$237"/>
        <cfvo type="num" val="$N$234"/>
        <cfvo type="num" val="16"/>
        <color rgb="FF63BE7B"/>
        <color rgb="FFFFEB84"/>
        <color rgb="FFF8696B"/>
      </colorScale>
    </cfRule>
  </conditionalFormatting>
  <conditionalFormatting sqref="Q122:R141 H122:H141 J122:J141 L122:L141 N122:N141">
    <cfRule type="cellIs" dxfId="52" priority="31" operator="equal">
      <formula>0</formula>
    </cfRule>
  </conditionalFormatting>
  <conditionalFormatting sqref="Q143:R153 Q155:R168 H104:H120 J104:J120 L104:L120 N104:N120 Q104:R120 H143:H153 J143:J153 L143:L153 N143:N153 H155:H168 J155:J168 L155:L168 N155:N168">
    <cfRule type="cellIs" dxfId="51" priority="30" operator="equal">
      <formula>0</formula>
    </cfRule>
  </conditionalFormatting>
  <conditionalFormatting sqref="Q170:R194">
    <cfRule type="cellIs" dxfId="50" priority="8" operator="equal">
      <formula>0</formula>
    </cfRule>
  </conditionalFormatting>
  <conditionalFormatting sqref="R104:R120">
    <cfRule type="cellIs" dxfId="49" priority="40" operator="equal">
      <formula>"Hoch"</formula>
    </cfRule>
  </conditionalFormatting>
  <conditionalFormatting sqref="R122:R141 R143:R153 R155:R168">
    <cfRule type="cellIs" dxfId="48" priority="36" operator="equal">
      <formula>"Hoch"</formula>
    </cfRule>
  </conditionalFormatting>
  <conditionalFormatting sqref="R122:R141">
    <cfRule type="cellIs" dxfId="47" priority="13" operator="equal">
      <formula>"Hoch"</formula>
    </cfRule>
    <cfRule type="cellIs" dxfId="46" priority="12" operator="equal">
      <formula>0</formula>
    </cfRule>
    <cfRule type="cellIs" dxfId="45" priority="7" operator="equal">
      <formula>"Hoch"</formula>
    </cfRule>
    <cfRule type="cellIs" dxfId="44" priority="6" operator="equal">
      <formula>0</formula>
    </cfRule>
  </conditionalFormatting>
  <conditionalFormatting sqref="R143:R153">
    <cfRule type="cellIs" dxfId="43" priority="4" operator="equal">
      <formula>"Hoch"</formula>
    </cfRule>
    <cfRule type="colorScale" priority="37">
      <colorScale>
        <cfvo type="num" val="$H$237"/>
        <cfvo type="num" val="$N$234"/>
        <cfvo type="num" val="16"/>
        <color rgb="FF63BE7B"/>
        <color rgb="FFFFEB84"/>
        <color rgb="FFF8696B"/>
      </colorScale>
    </cfRule>
    <cfRule type="colorScale" priority="11">
      <colorScale>
        <cfvo type="num" val="$H$237"/>
        <cfvo type="num" val="$N$234"/>
        <cfvo type="num" val="16"/>
        <color rgb="FF63BE7B"/>
        <color rgb="FFFFEB84"/>
        <color rgb="FFF8696B"/>
      </colorScale>
    </cfRule>
    <cfRule type="cellIs" dxfId="42" priority="10" operator="equal">
      <formula>"Hoch"</formula>
    </cfRule>
    <cfRule type="colorScale" priority="5">
      <colorScale>
        <cfvo type="num" val="$H$237"/>
        <cfvo type="num" val="$N$234"/>
        <cfvo type="num" val="16"/>
        <color rgb="FF63BE7B"/>
        <color rgb="FFFFEB84"/>
        <color rgb="FFF8696B"/>
      </colorScale>
    </cfRule>
  </conditionalFormatting>
  <conditionalFormatting sqref="R155:R168">
    <cfRule type="cellIs" dxfId="41" priority="3" operator="equal">
      <formula>"Hoch"</formula>
    </cfRule>
  </conditionalFormatting>
  <conditionalFormatting sqref="R170:R194">
    <cfRule type="cellIs" dxfId="40" priority="1" operator="equal">
      <formula>0</formula>
    </cfRule>
    <cfRule type="cellIs" dxfId="39" priority="9" operator="equal">
      <formula>"Hoch"</formula>
    </cfRule>
    <cfRule type="cellIs" dxfId="38" priority="2" operator="equal">
      <formula>"Hoch"</formula>
    </cfRule>
  </conditionalFormatting>
  <dataValidations count="12">
    <dataValidation type="list" allowBlank="1" showInputMessage="1" showErrorMessage="1" sqref="D251" xr:uid="{DEEEF378-977E-48B9-97EE-BCAC83C27B98}">
      <formula1>"(wählen),Tief,Mittel,Hoch,Sehr hoch"</formula1>
    </dataValidation>
    <dataValidation type="whole" allowBlank="1" showInputMessage="1" showErrorMessage="1" sqref="F138:F141 F125:F128" xr:uid="{128F7409-990A-426A-A2CF-109F7EB92943}">
      <formula1>1</formula1>
      <formula2>4</formula2>
    </dataValidation>
    <dataValidation type="list" allowBlank="1" showInputMessage="1" showErrorMessage="1" sqref="D253:D254" xr:uid="{AE28FB52-A39C-477C-B162-9A3F10DEA016}">
      <formula1>"(wählen),Ja,Nein"</formula1>
    </dataValidation>
    <dataValidation type="list" allowBlank="1" showInputMessage="1" showErrorMessage="1" sqref="E104:E120 E122:E141 E143:E153 E170:E194 E155:E168" xr:uid="{11267F68-1326-4EED-BCDC-94E517CDDBB4}">
      <formula1>$D$199:$D$203</formula1>
    </dataValidation>
    <dataValidation type="list" allowBlank="1" showInputMessage="1" showErrorMessage="1" sqref="G143:G153 G122:G141 G170:G194 G104:G120 G155:G168" xr:uid="{7C821DAA-B9B4-4217-B6CB-572FE05E5CAB}">
      <formula1>$D$206:$D$210</formula1>
    </dataValidation>
    <dataValidation type="list" allowBlank="1" showInputMessage="1" showErrorMessage="1" sqref="I143:I153 I122:I141 I170:I194 I104:I120 I155:I168" xr:uid="{0ED7AD86-25EA-426D-9A91-2460202CAE0F}">
      <formula1>$D$213:$D$217</formula1>
    </dataValidation>
    <dataValidation type="list" allowBlank="1" showInputMessage="1" showErrorMessage="1" sqref="K143:K153 K122:K141 K170:K194 K104:K120 K155:K168" xr:uid="{B110C32E-A299-49BB-8008-BB7D70CCBACD}">
      <formula1>$D$220:$D$224</formula1>
    </dataValidation>
    <dataValidation type="list" allowBlank="1" showInputMessage="1" showErrorMessage="1" sqref="M143:M153 M122:M141 M170:M194 M104:M120 M155:M168" xr:uid="{7A9B2CF5-2584-4FE3-A4A0-5F3A97DE5A2C}">
      <formula1>$D$227:$D$231</formula1>
    </dataValidation>
    <dataValidation type="list" allowBlank="1" showInputMessage="1" showErrorMessage="1" sqref="P170:P194 P122:P141 P143:P153 P104:P120 P155:P168" xr:uid="{9719A1A1-344A-4D83-839B-7B3933DBB675}">
      <formula1>$D$234:$D$238</formula1>
    </dataValidation>
    <dataValidation type="list" allowBlank="1" showInputMessage="1" showErrorMessage="1" sqref="D99" xr:uid="{76F61059-05C1-4A53-8CB0-B1A3543E406E}">
      <mc:AlternateContent xmlns:x12ac="http://schemas.microsoft.com/office/spreadsheetml/2011/1/ac" xmlns:mc="http://schemas.openxmlformats.org/markup-compatibility/2006">
        <mc:Choice Requires="x12ac">
          <x12ac:list>"Ja, sie werden nachfolgend ebenfalls beurteilt","Nein, sie sind anderswo schon beurteilt"</x12ac:list>
        </mc:Choice>
        <mc:Fallback>
          <formula1>"Ja, sie werden nachfolgend ebenfalls beurteilt,Nein, sie sind anderswo schon beurteilt"</formula1>
        </mc:Fallback>
      </mc:AlternateContent>
    </dataValidation>
    <dataValidation type="list" allowBlank="1" showInputMessage="1" showErrorMessage="1" sqref="D16" xr:uid="{9021848C-7590-485E-BC75-3E2A9D198348}">
      <mc:AlternateContent xmlns:x12ac="http://schemas.microsoft.com/office/spreadsheetml/2011/1/ac" xmlns:mc="http://schemas.openxmlformats.org/markup-compatibility/2006">
        <mc:Choice Requires="x12ac">
          <x12ac:list>(wählen),"Ja, in dieser Risikobeurteilung mit enthalten","Nein, in dieser Risikobeurteilung nicht erhalten (ggf. separat durchgeführt)"</x12ac:list>
        </mc:Choice>
        <mc:Fallback>
          <formula1>"(wählen),Ja, in dieser Risikobeurteilung mit enthalten,Nein, in dieser Risikobeurteilung nicht erhalten (ggf. separat durchgeführt)"</formula1>
        </mc:Fallback>
      </mc:AlternateContent>
    </dataValidation>
    <dataValidation type="list" allowBlank="1" showInputMessage="1" showErrorMessage="1" sqref="E57:E86" xr:uid="{D2E8DE91-1AAF-496E-9A6F-F44C3ACED22E}">
      <formula1>$E$87:$E$93</formula1>
    </dataValidation>
  </dataValidations>
  <hyperlinks>
    <hyperlink ref="B43" location="'AI Act D'!A1" display="Siehe separates Arbeitsblatt um diese Punkte zu ermitteln" xr:uid="{89960490-FD03-454D-99BB-DB83E2F9EF2D}"/>
  </hyperlinks>
  <pageMargins left="0.7" right="0.7" top="0.78740157499999996" bottom="0.78740157499999996" header="0.3" footer="0.3"/>
  <pageSetup paperSize="8" scale="2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2</xdr:col>
                    <xdr:colOff>2202180</xdr:colOff>
                    <xdr:row>39</xdr:row>
                    <xdr:rowOff>144780</xdr:rowOff>
                  </from>
                  <to>
                    <xdr:col>3</xdr:col>
                    <xdr:colOff>1165860</xdr:colOff>
                    <xdr:row>41</xdr:row>
                    <xdr:rowOff>15240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3</xdr:col>
                    <xdr:colOff>1181100</xdr:colOff>
                    <xdr:row>39</xdr:row>
                    <xdr:rowOff>175260</xdr:rowOff>
                  </from>
                  <to>
                    <xdr:col>3</xdr:col>
                    <xdr:colOff>2407920</xdr:colOff>
                    <xdr:row>40</xdr:row>
                    <xdr:rowOff>205740</xdr:rowOff>
                  </to>
                </anchor>
              </controlPr>
            </control>
          </mc:Choice>
        </mc:AlternateContent>
        <mc:AlternateContent xmlns:mc="http://schemas.openxmlformats.org/markup-compatibility/2006">
          <mc:Choice Requires="x14">
            <control shapeId="25603" r:id="rId6" name="Option Button 3">
              <controlPr defaultSize="0" autoFill="0" autoLine="0" autoPict="0">
                <anchor moveWithCells="1">
                  <from>
                    <xdr:col>4</xdr:col>
                    <xdr:colOff>15240</xdr:colOff>
                    <xdr:row>39</xdr:row>
                    <xdr:rowOff>152400</xdr:rowOff>
                  </from>
                  <to>
                    <xdr:col>4</xdr:col>
                    <xdr:colOff>1082040</xdr:colOff>
                    <xdr:row>41</xdr:row>
                    <xdr:rowOff>15240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5</xdr:col>
                    <xdr:colOff>2011680</xdr:colOff>
                    <xdr:row>39</xdr:row>
                    <xdr:rowOff>175260</xdr:rowOff>
                  </from>
                  <to>
                    <xdr:col>8</xdr:col>
                    <xdr:colOff>15240</xdr:colOff>
                    <xdr:row>40</xdr:row>
                    <xdr:rowOff>205740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2202180</xdr:colOff>
                    <xdr:row>40</xdr:row>
                    <xdr:rowOff>198120</xdr:rowOff>
                  </from>
                  <to>
                    <xdr:col>3</xdr:col>
                    <xdr:colOff>716280</xdr:colOff>
                    <xdr:row>42</xdr:row>
                    <xdr:rowOff>15240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3</xdr:col>
                    <xdr:colOff>777240</xdr:colOff>
                    <xdr:row>40</xdr:row>
                    <xdr:rowOff>198120</xdr:rowOff>
                  </from>
                  <to>
                    <xdr:col>3</xdr:col>
                    <xdr:colOff>1516380</xdr:colOff>
                    <xdr:row>42</xdr:row>
                    <xdr:rowOff>15240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3</xdr:col>
                    <xdr:colOff>1623060</xdr:colOff>
                    <xdr:row>40</xdr:row>
                    <xdr:rowOff>182880</xdr:rowOff>
                  </from>
                  <to>
                    <xdr:col>3</xdr:col>
                    <xdr:colOff>2346960</xdr:colOff>
                    <xdr:row>42</xdr:row>
                    <xdr:rowOff>30480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4</xdr:col>
                    <xdr:colOff>22860</xdr:colOff>
                    <xdr:row>40</xdr:row>
                    <xdr:rowOff>198120</xdr:rowOff>
                  </from>
                  <to>
                    <xdr:col>4</xdr:col>
                    <xdr:colOff>777240</xdr:colOff>
                    <xdr:row>42</xdr:row>
                    <xdr:rowOff>15240</xdr:rowOff>
                  </to>
                </anchor>
              </controlPr>
            </control>
          </mc:Choice>
        </mc:AlternateContent>
        <mc:AlternateContent xmlns:mc="http://schemas.openxmlformats.org/markup-compatibility/2006">
          <mc:Choice Requires="x14">
            <control shapeId="25609" r:id="rId12" name="Option Button 9">
              <controlPr defaultSize="0" autoFill="0" autoLine="0" autoPict="0">
                <anchor moveWithCells="1">
                  <from>
                    <xdr:col>5</xdr:col>
                    <xdr:colOff>274320</xdr:colOff>
                    <xdr:row>39</xdr:row>
                    <xdr:rowOff>175260</xdr:rowOff>
                  </from>
                  <to>
                    <xdr:col>5</xdr:col>
                    <xdr:colOff>1828800</xdr:colOff>
                    <xdr:row>40</xdr:row>
                    <xdr:rowOff>205740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5</xdr:col>
                    <xdr:colOff>53340</xdr:colOff>
                    <xdr:row>40</xdr:row>
                    <xdr:rowOff>190500</xdr:rowOff>
                  </from>
                  <to>
                    <xdr:col>5</xdr:col>
                    <xdr:colOff>1341120</xdr:colOff>
                    <xdr:row>42</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448EA-D169-458F-B670-F0427F20232D}">
  <sheetPr codeName="Tabelle8">
    <tabColor rgb="FF0070C0"/>
    <pageSetUpPr fitToPage="1"/>
  </sheetPr>
  <dimension ref="A1:K106"/>
  <sheetViews>
    <sheetView showGridLines="0" workbookViewId="0">
      <selection activeCell="D6" sqref="D6:F6"/>
    </sheetView>
  </sheetViews>
  <sheetFormatPr baseColWidth="10" defaultColWidth="11.44140625" defaultRowHeight="14.4" x14ac:dyDescent="0.3"/>
  <cols>
    <col min="1" max="1" width="8.6640625" customWidth="1"/>
    <col min="2" max="2" width="10.109375" customWidth="1"/>
    <col min="3" max="3" width="33.33203125" customWidth="1"/>
    <col min="4" max="4" width="41.88671875" customWidth="1"/>
    <col min="5" max="5" width="12.88671875" customWidth="1"/>
    <col min="6" max="6" width="33.33203125" customWidth="1"/>
    <col min="7" max="7" width="10" customWidth="1"/>
    <col min="8" max="8" width="18.77734375" customWidth="1"/>
    <col min="9" max="9" width="13.109375" customWidth="1"/>
    <col min="10" max="10" width="11.33203125" customWidth="1"/>
    <col min="11" max="11" width="6.109375" customWidth="1"/>
    <col min="12" max="12" width="5" customWidth="1"/>
    <col min="13" max="13" width="9.6640625" customWidth="1"/>
    <col min="14" max="14" width="35" customWidth="1"/>
    <col min="15" max="16" width="9.6640625" customWidth="1"/>
    <col min="17" max="17" width="6" customWidth="1"/>
    <col min="18" max="18" width="23.33203125" customWidth="1"/>
    <col min="19" max="19" width="13" customWidth="1"/>
    <col min="34" max="37" width="2.6640625" customWidth="1"/>
    <col min="38" max="61" width="3.6640625" customWidth="1"/>
  </cols>
  <sheetData>
    <row r="1" spans="1:8" ht="23.4" x14ac:dyDescent="0.45">
      <c r="A1" s="194" t="s">
        <v>878</v>
      </c>
      <c r="B1" s="194"/>
      <c r="C1" s="194"/>
      <c r="D1" s="194"/>
    </row>
    <row r="2" spans="1:8" x14ac:dyDescent="0.3">
      <c r="A2" s="195" t="s">
        <v>1576</v>
      </c>
      <c r="B2" s="195"/>
      <c r="C2" s="195"/>
      <c r="D2" s="195"/>
      <c r="E2" s="195"/>
    </row>
    <row r="3" spans="1:8" x14ac:dyDescent="0.3">
      <c r="A3" s="63"/>
      <c r="B3" s="63"/>
      <c r="C3" s="63"/>
      <c r="D3" s="63"/>
      <c r="E3" s="63"/>
    </row>
    <row r="4" spans="1:8" ht="42.6" customHeight="1" x14ac:dyDescent="0.3">
      <c r="A4" s="196" t="s">
        <v>1376</v>
      </c>
      <c r="B4" s="196"/>
      <c r="C4" s="196"/>
      <c r="D4" s="196"/>
      <c r="E4" s="196"/>
      <c r="F4" s="196"/>
    </row>
    <row r="5" spans="1:8" x14ac:dyDescent="0.3">
      <c r="A5" s="63"/>
      <c r="B5" s="63"/>
      <c r="C5" s="63"/>
      <c r="D5" s="63"/>
      <c r="E5" s="63"/>
    </row>
    <row r="6" spans="1:8" ht="14.7" customHeight="1" x14ac:dyDescent="0.3">
      <c r="A6" s="1" t="s">
        <v>1</v>
      </c>
      <c r="B6" s="2"/>
      <c r="C6" s="2"/>
      <c r="D6" s="197" t="s">
        <v>77</v>
      </c>
      <c r="E6" s="198"/>
      <c r="F6" s="198"/>
      <c r="G6" s="2"/>
      <c r="H6" s="2"/>
    </row>
    <row r="7" spans="1:8" x14ac:dyDescent="0.3">
      <c r="A7" s="2" t="s">
        <v>2</v>
      </c>
      <c r="B7" s="2"/>
      <c r="C7" s="2"/>
      <c r="D7" s="199" t="s">
        <v>49</v>
      </c>
      <c r="E7" s="200"/>
      <c r="F7" s="200"/>
      <c r="G7" s="2"/>
      <c r="H7" s="2"/>
    </row>
    <row r="8" spans="1:8" x14ac:dyDescent="0.3">
      <c r="A8" s="2" t="s">
        <v>182</v>
      </c>
      <c r="B8" s="2"/>
      <c r="C8" s="2"/>
      <c r="D8" s="199" t="s">
        <v>78</v>
      </c>
      <c r="E8" s="200"/>
      <c r="F8" s="200"/>
      <c r="G8" s="2"/>
      <c r="H8" s="2"/>
    </row>
    <row r="9" spans="1:8" x14ac:dyDescent="0.3">
      <c r="A9" s="2" t="s">
        <v>128</v>
      </c>
      <c r="B9" s="2"/>
      <c r="C9" s="2"/>
      <c r="D9" s="62" t="s">
        <v>17</v>
      </c>
      <c r="E9" s="2"/>
      <c r="F9" s="110">
        <v>45261</v>
      </c>
      <c r="G9" s="2"/>
      <c r="H9" s="2"/>
    </row>
    <row r="10" spans="1:8" x14ac:dyDescent="0.3">
      <c r="A10" s="2"/>
      <c r="B10" s="2"/>
      <c r="C10" s="2"/>
      <c r="D10" s="2"/>
      <c r="E10" s="2"/>
      <c r="F10" s="2"/>
      <c r="G10" s="2"/>
      <c r="H10" s="2"/>
    </row>
    <row r="11" spans="1:8" ht="18" x14ac:dyDescent="0.3">
      <c r="A11" s="1" t="s">
        <v>183</v>
      </c>
      <c r="B11" s="2"/>
      <c r="C11" s="2"/>
      <c r="D11" s="203" t="s">
        <v>444</v>
      </c>
      <c r="E11" s="204"/>
      <c r="F11" s="204"/>
      <c r="G11" s="2"/>
      <c r="H11" s="2"/>
    </row>
    <row r="12" spans="1:8" x14ac:dyDescent="0.3">
      <c r="A12" s="2"/>
      <c r="B12" s="2"/>
      <c r="C12" s="2"/>
      <c r="D12" s="2"/>
      <c r="E12" s="2"/>
      <c r="F12" s="2"/>
      <c r="G12" s="2"/>
      <c r="H12" s="2"/>
    </row>
    <row r="13" spans="1:8" ht="14.4" customHeight="1" x14ac:dyDescent="0.3">
      <c r="A13" s="201" t="s">
        <v>328</v>
      </c>
      <c r="B13" s="201"/>
      <c r="C13" s="202"/>
      <c r="D13" s="189" t="s">
        <v>445</v>
      </c>
      <c r="E13" s="190"/>
      <c r="F13" s="190"/>
      <c r="G13" s="2"/>
      <c r="H13" s="2"/>
    </row>
    <row r="14" spans="1:8" ht="16.95" customHeight="1" x14ac:dyDescent="0.3">
      <c r="A14" s="201" t="s">
        <v>329</v>
      </c>
      <c r="B14" s="201"/>
      <c r="C14" s="202"/>
      <c r="D14" s="189" t="s">
        <v>446</v>
      </c>
      <c r="E14" s="190"/>
      <c r="F14" s="190"/>
      <c r="G14" s="2"/>
      <c r="H14" s="2"/>
    </row>
    <row r="15" spans="1:8" ht="14.4" customHeight="1" x14ac:dyDescent="0.3">
      <c r="A15" s="86"/>
      <c r="B15" s="87"/>
      <c r="D15" s="84"/>
      <c r="E15" s="84"/>
      <c r="F15" s="84"/>
      <c r="G15" s="2"/>
      <c r="H15" s="2"/>
    </row>
    <row r="16" spans="1:8"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spans="1:9" hidden="1" x14ac:dyDescent="0.3"/>
    <row r="34" spans="1:9" hidden="1" x14ac:dyDescent="0.3"/>
    <row r="35" spans="1:9" hidden="1" x14ac:dyDescent="0.3"/>
    <row r="36" spans="1:9" hidden="1" x14ac:dyDescent="0.3"/>
    <row r="37" spans="1:9" hidden="1" x14ac:dyDescent="0.3"/>
    <row r="38" spans="1:9" hidden="1" x14ac:dyDescent="0.3"/>
    <row r="39" spans="1:9" hidden="1" x14ac:dyDescent="0.3"/>
    <row r="40" spans="1:9" hidden="1" x14ac:dyDescent="0.3"/>
    <row r="41" spans="1:9" hidden="1" x14ac:dyDescent="0.3"/>
    <row r="42" spans="1:9" hidden="1" x14ac:dyDescent="0.3"/>
    <row r="43" spans="1:9" hidden="1" x14ac:dyDescent="0.3"/>
    <row r="44" spans="1:9" hidden="1" x14ac:dyDescent="0.3"/>
    <row r="45" spans="1:9" hidden="1" x14ac:dyDescent="0.3"/>
    <row r="46" spans="1:9" x14ac:dyDescent="0.3">
      <c r="A46" s="20" t="s">
        <v>186</v>
      </c>
      <c r="B46" s="20" t="s">
        <v>858</v>
      </c>
    </row>
    <row r="48" spans="1:9" ht="32.4" customHeight="1" x14ac:dyDescent="0.3">
      <c r="A48" s="6" t="s">
        <v>0</v>
      </c>
      <c r="B48" s="192" t="s">
        <v>846</v>
      </c>
      <c r="C48" s="192"/>
      <c r="D48" s="193"/>
      <c r="E48" s="144" t="s">
        <v>31</v>
      </c>
      <c r="G48" s="223" t="str">
        <f>IF($E48="Yes","= likely an AI system as per AI Act",IF($E48="No","= likely no AI system as per AI Act",""))</f>
        <v/>
      </c>
      <c r="H48" s="223"/>
      <c r="I48" s="79">
        <f>IF(LEFT($G48,10)="= likely a",1,0)</f>
        <v>0</v>
      </c>
    </row>
    <row r="49" spans="1:9" ht="115.2" customHeight="1" x14ac:dyDescent="0.3">
      <c r="A49" s="6" t="s">
        <v>21</v>
      </c>
      <c r="B49" s="192" t="s">
        <v>1279</v>
      </c>
      <c r="C49" s="192"/>
      <c r="D49" s="193"/>
      <c r="E49" s="189" t="s">
        <v>31</v>
      </c>
      <c r="F49" s="191"/>
      <c r="G49" s="222" t="str">
        <f>IFERROR(VLOOKUP(LEFT($E49,250),'AI Act E'!$B$9:$D$18,3,FALSE),"")</f>
        <v/>
      </c>
      <c r="H49" s="222"/>
      <c r="I49" s="79">
        <f>IF(LEFT($G49,10)="= likely p",1,0)</f>
        <v>0</v>
      </c>
    </row>
    <row r="50" spans="1:9" ht="114.6" customHeight="1" x14ac:dyDescent="0.3">
      <c r="A50" s="6" t="s">
        <v>22</v>
      </c>
      <c r="B50" s="192" t="s">
        <v>1280</v>
      </c>
      <c r="C50" s="192"/>
      <c r="D50" s="193"/>
      <c r="E50" s="189" t="s">
        <v>31</v>
      </c>
      <c r="F50" s="191"/>
      <c r="G50" s="222" t="str">
        <f>IF(ISBLANK(IFERROR(VLOOKUP(LEFT($E50,250),'AI Act E'!$B$19:$D$35,3,FALSE),"")),"",IFERROR(VLOOKUP(LEFT($E50,250),'AI Act E'!$B$19:$D$35,3,FALSE),""))</f>
        <v/>
      </c>
      <c r="H50" s="222"/>
      <c r="I50" s="142">
        <f>IF(LEFT($G50,3)="= i",1,0)</f>
        <v>0</v>
      </c>
    </row>
    <row r="51" spans="1:9" ht="48" customHeight="1" x14ac:dyDescent="0.3">
      <c r="A51" s="6" t="s">
        <v>23</v>
      </c>
      <c r="B51" s="192" t="s">
        <v>829</v>
      </c>
      <c r="C51" s="192"/>
      <c r="D51" s="193"/>
      <c r="E51" s="145" t="s">
        <v>31</v>
      </c>
      <c r="F51" s="141" t="str">
        <f>IF($E$51="Yes","(the provider has to document this and register the system)","")</f>
        <v/>
      </c>
      <c r="G51" s="222" t="str">
        <f>IF($I$50=0,"",IF($E51="Yes","= in your particular case, your system is likely not considered high-risk",IF($E51="(select)","","= de-minimis exemption for high-risk systems does not apply")))</f>
        <v/>
      </c>
      <c r="H51" s="222"/>
      <c r="I51" s="79">
        <f>IF($I$50=0,0,IF($E51="Yes",0,1))</f>
        <v>0</v>
      </c>
    </row>
    <row r="52" spans="1:9" ht="47.4" customHeight="1" x14ac:dyDescent="0.3">
      <c r="A52" s="6" t="s">
        <v>24</v>
      </c>
      <c r="B52" s="192" t="s">
        <v>859</v>
      </c>
      <c r="C52" s="192"/>
      <c r="D52" s="193"/>
      <c r="E52" s="146" t="s">
        <v>31</v>
      </c>
      <c r="F52" s="141"/>
      <c r="G52" s="223" t="str">
        <f>IF($E52="Yes","= likely a general purpose AI model as per AI Act","")</f>
        <v/>
      </c>
      <c r="H52" s="223"/>
      <c r="I52" s="79">
        <f>IF(LEFT($G52,1)="=",1,0)</f>
        <v>0</v>
      </c>
    </row>
    <row r="53" spans="1:9" ht="15" customHeight="1" x14ac:dyDescent="0.3">
      <c r="A53" s="6"/>
      <c r="B53" s="40"/>
      <c r="C53" s="40"/>
      <c r="D53" s="41"/>
      <c r="E53" s="41"/>
      <c r="F53" s="141"/>
      <c r="G53" s="120"/>
      <c r="H53" s="120"/>
      <c r="I53" s="79"/>
    </row>
    <row r="54" spans="1:9" ht="15.6" customHeight="1" x14ac:dyDescent="0.3">
      <c r="A54" s="147" t="s">
        <v>188</v>
      </c>
      <c r="B54" s="1" t="s">
        <v>832</v>
      </c>
      <c r="C54" s="40"/>
      <c r="D54" s="41"/>
      <c r="E54" s="41"/>
      <c r="F54" s="141"/>
      <c r="G54" s="120"/>
      <c r="H54" s="120"/>
      <c r="I54" s="79"/>
    </row>
    <row r="55" spans="1:9" ht="11.4" customHeight="1" x14ac:dyDescent="0.3">
      <c r="A55" s="6"/>
      <c r="B55" s="40"/>
      <c r="C55" s="40"/>
      <c r="D55" s="41"/>
      <c r="E55" s="119" t="s">
        <v>192</v>
      </c>
      <c r="F55" s="119" t="s">
        <v>1084</v>
      </c>
      <c r="G55" s="120"/>
      <c r="H55" s="120"/>
      <c r="I55" s="79"/>
    </row>
    <row r="56" spans="1:9" ht="14.4" customHeight="1" x14ac:dyDescent="0.3">
      <c r="A56" s="6" t="s">
        <v>108</v>
      </c>
      <c r="B56" s="192" t="s">
        <v>861</v>
      </c>
      <c r="C56" s="192"/>
      <c r="D56" s="193"/>
      <c r="E56" s="126" t="s">
        <v>31</v>
      </c>
      <c r="F56" s="143"/>
      <c r="G56" s="222" t="str">
        <f>IF(AND($E$56="Yes",OR($E$57="Yes",$E$58="Yes"),$E$59="Yes"),"= you are likely subject to the AI Act as a provider","")</f>
        <v/>
      </c>
      <c r="H56" s="222"/>
      <c r="I56" s="56"/>
    </row>
    <row r="57" spans="1:9" ht="14.4" customHeight="1" x14ac:dyDescent="0.3">
      <c r="A57" s="6" t="s">
        <v>109</v>
      </c>
      <c r="B57" s="192" t="s">
        <v>1074</v>
      </c>
      <c r="C57" s="192"/>
      <c r="D57" s="193"/>
      <c r="E57" s="126" t="s">
        <v>31</v>
      </c>
      <c r="F57" s="143"/>
      <c r="G57" s="222"/>
      <c r="H57" s="222"/>
      <c r="I57" s="56"/>
    </row>
    <row r="58" spans="1:9" ht="14.4" customHeight="1" x14ac:dyDescent="0.3">
      <c r="A58" s="6" t="s">
        <v>667</v>
      </c>
      <c r="B58" s="192" t="s">
        <v>1090</v>
      </c>
      <c r="C58" s="192"/>
      <c r="D58" s="193"/>
      <c r="E58" s="126" t="s">
        <v>31</v>
      </c>
      <c r="F58" s="143"/>
      <c r="G58" s="222"/>
      <c r="H58" s="222"/>
      <c r="I58" s="56"/>
    </row>
    <row r="59" spans="1:9" ht="14.4" customHeight="1" x14ac:dyDescent="0.3">
      <c r="A59" s="6" t="s">
        <v>668</v>
      </c>
      <c r="B59" s="192" t="s">
        <v>835</v>
      </c>
      <c r="C59" s="192"/>
      <c r="D59" s="193"/>
      <c r="E59" s="126" t="s">
        <v>31</v>
      </c>
      <c r="F59" s="143"/>
      <c r="G59" s="222"/>
      <c r="H59" s="222"/>
      <c r="I59" s="56"/>
    </row>
    <row r="60" spans="1:9" ht="14.4" customHeight="1" x14ac:dyDescent="0.3">
      <c r="A60" s="6" t="s">
        <v>669</v>
      </c>
      <c r="B60" s="192" t="s">
        <v>1077</v>
      </c>
      <c r="C60" s="192"/>
      <c r="D60" s="193"/>
      <c r="E60" s="126" t="s">
        <v>31</v>
      </c>
      <c r="F60" s="143"/>
      <c r="G60" s="222" t="str">
        <f>IF($I51=0,"",IF(OR($E$60="Yes",$E$61="Yes",$E$62="Yes",$E$63="Yes"),"= you are likely subject to the AI Act as a provider as per Art. 25 AI Act",""))</f>
        <v/>
      </c>
      <c r="H60" s="222"/>
      <c r="I60" s="56"/>
    </row>
    <row r="61" spans="1:9" ht="14.4" customHeight="1" x14ac:dyDescent="0.3">
      <c r="A61" s="6" t="s">
        <v>670</v>
      </c>
      <c r="B61" s="192" t="s">
        <v>1076</v>
      </c>
      <c r="C61" s="192"/>
      <c r="D61" s="193"/>
      <c r="E61" s="126" t="s">
        <v>31</v>
      </c>
      <c r="F61" s="143"/>
      <c r="G61" s="222"/>
      <c r="H61" s="222"/>
      <c r="I61" s="56"/>
    </row>
    <row r="62" spans="1:9" ht="30" customHeight="1" x14ac:dyDescent="0.3">
      <c r="A62" s="6" t="s">
        <v>694</v>
      </c>
      <c r="B62" s="192" t="s">
        <v>1078</v>
      </c>
      <c r="C62" s="192"/>
      <c r="D62" s="193"/>
      <c r="E62" s="126" t="s">
        <v>31</v>
      </c>
      <c r="F62" s="143"/>
      <c r="G62" s="222"/>
      <c r="H62" s="222"/>
      <c r="I62" s="56"/>
    </row>
    <row r="63" spans="1:9" ht="48" customHeight="1" x14ac:dyDescent="0.3">
      <c r="A63" s="6" t="s">
        <v>702</v>
      </c>
      <c r="B63" s="192" t="s">
        <v>1080</v>
      </c>
      <c r="C63" s="192"/>
      <c r="D63" s="193"/>
      <c r="E63" s="126" t="s">
        <v>31</v>
      </c>
      <c r="F63" s="143"/>
      <c r="G63" s="222"/>
      <c r="H63" s="222"/>
      <c r="I63" s="79">
        <f>IF($G$56&amp;$G$60="",0,1)</f>
        <v>0</v>
      </c>
    </row>
    <row r="64" spans="1:9" ht="33" customHeight="1" x14ac:dyDescent="0.3">
      <c r="A64" s="6" t="s">
        <v>830</v>
      </c>
      <c r="B64" s="192" t="s">
        <v>836</v>
      </c>
      <c r="C64" s="192"/>
      <c r="D64" s="193"/>
      <c r="E64" s="126" t="s">
        <v>31</v>
      </c>
      <c r="F64" s="143"/>
      <c r="G64" s="222" t="str">
        <f>IF($I$63=0,IF($E$64="Yes","= you are likely subject to the AI Act as a distributor",""),"")</f>
        <v/>
      </c>
      <c r="H64" s="222"/>
      <c r="I64" s="79">
        <f>IF($G$64="",0,1)</f>
        <v>0</v>
      </c>
    </row>
    <row r="65" spans="1:9" ht="33" customHeight="1" x14ac:dyDescent="0.3">
      <c r="A65" s="6" t="s">
        <v>831</v>
      </c>
      <c r="B65" s="192" t="s">
        <v>837</v>
      </c>
      <c r="C65" s="192"/>
      <c r="D65" s="193"/>
      <c r="E65" s="126" t="s">
        <v>31</v>
      </c>
      <c r="F65" s="143"/>
      <c r="G65" s="222" t="str">
        <f>IF($E$65="Yes","= you are likely subject to the AI Act as an importer","")</f>
        <v/>
      </c>
      <c r="H65" s="222"/>
      <c r="I65" s="79">
        <f>IF($G$65="",0,1)</f>
        <v>0</v>
      </c>
    </row>
    <row r="66" spans="1:9" x14ac:dyDescent="0.3">
      <c r="F66" s="77"/>
      <c r="G66" s="77"/>
      <c r="H66" s="77"/>
      <c r="I66" s="56"/>
    </row>
    <row r="67" spans="1:9" ht="26.4" customHeight="1" x14ac:dyDescent="0.3">
      <c r="B67" s="227" t="s">
        <v>852</v>
      </c>
      <c r="C67" s="227"/>
      <c r="D67" s="227"/>
      <c r="E67" s="227"/>
      <c r="F67" s="227"/>
      <c r="G67" s="227"/>
      <c r="H67" s="227"/>
      <c r="I67" s="56"/>
    </row>
    <row r="68" spans="1:9" x14ac:dyDescent="0.3">
      <c r="F68" s="77"/>
      <c r="G68" s="77"/>
      <c r="H68" s="77"/>
      <c r="I68" s="56"/>
    </row>
    <row r="69" spans="1:9" x14ac:dyDescent="0.3">
      <c r="A69" s="147" t="s">
        <v>190</v>
      </c>
      <c r="B69" s="1" t="s">
        <v>851</v>
      </c>
      <c r="C69" s="40"/>
      <c r="D69" s="41"/>
      <c r="E69" s="41"/>
      <c r="F69" s="141"/>
      <c r="G69" s="120"/>
      <c r="H69" s="120"/>
      <c r="I69" s="79"/>
    </row>
    <row r="70" spans="1:9" x14ac:dyDescent="0.3">
      <c r="A70" s="6"/>
      <c r="B70" s="40"/>
      <c r="C70" s="40"/>
      <c r="D70" s="41"/>
      <c r="E70" s="119" t="s">
        <v>192</v>
      </c>
      <c r="F70" s="119" t="s">
        <v>1084</v>
      </c>
      <c r="G70" s="120"/>
      <c r="H70" s="120"/>
      <c r="I70" s="79"/>
    </row>
    <row r="71" spans="1:9" ht="14.4" customHeight="1" x14ac:dyDescent="0.3">
      <c r="A71" s="6" t="s">
        <v>863</v>
      </c>
      <c r="B71" s="192" t="s">
        <v>844</v>
      </c>
      <c r="C71" s="192"/>
      <c r="D71" s="193"/>
      <c r="E71" s="126" t="s">
        <v>31</v>
      </c>
      <c r="F71" s="143"/>
      <c r="G71" s="226" t="str">
        <f>IF(AND($E$71="Yes",OR($E$72="Yes",$E$73="Yes")),"= you are likely subject to the AI Act as a deployer","")</f>
        <v/>
      </c>
      <c r="H71" s="222"/>
      <c r="I71" s="56"/>
    </row>
    <row r="72" spans="1:9" ht="14.4" customHeight="1" x14ac:dyDescent="0.3">
      <c r="A72" s="6" t="s">
        <v>864</v>
      </c>
      <c r="B72" s="192" t="s">
        <v>845</v>
      </c>
      <c r="C72" s="192"/>
      <c r="D72" s="193"/>
      <c r="E72" s="126" t="s">
        <v>31</v>
      </c>
      <c r="F72" s="143"/>
      <c r="G72" s="226"/>
      <c r="H72" s="222"/>
      <c r="I72" s="56"/>
    </row>
    <row r="73" spans="1:9" ht="14.4" customHeight="1" x14ac:dyDescent="0.3">
      <c r="A73" s="6" t="s">
        <v>865</v>
      </c>
      <c r="B73" s="192" t="s">
        <v>862</v>
      </c>
      <c r="C73" s="192"/>
      <c r="D73" s="193"/>
      <c r="E73" s="126" t="s">
        <v>31</v>
      </c>
      <c r="F73" s="143"/>
      <c r="G73" s="226"/>
      <c r="H73" s="222"/>
      <c r="I73" s="79">
        <f>IF($G$71="",0,1)</f>
        <v>0</v>
      </c>
    </row>
    <row r="74" spans="1:9" x14ac:dyDescent="0.3">
      <c r="F74" s="77"/>
      <c r="G74" s="77"/>
      <c r="H74" s="77"/>
    </row>
    <row r="75" spans="1:9" x14ac:dyDescent="0.3">
      <c r="A75" s="147" t="s">
        <v>185</v>
      </c>
      <c r="B75" s="1" t="s">
        <v>853</v>
      </c>
      <c r="F75" s="77"/>
      <c r="G75" s="77"/>
      <c r="H75" s="77"/>
    </row>
    <row r="76" spans="1:9" x14ac:dyDescent="0.3">
      <c r="B76" s="1"/>
      <c r="F76" s="77"/>
      <c r="G76" s="77"/>
      <c r="H76" s="77"/>
    </row>
    <row r="77" spans="1:9" ht="15.6" customHeight="1" x14ac:dyDescent="0.3">
      <c r="B77" t="s">
        <v>854</v>
      </c>
      <c r="D77" s="224" t="str">
        <f>IF(AND($I$48+$I$52&gt;0,SUM($I$63:$I$73)&gt;0),"Yes","No")</f>
        <v>No</v>
      </c>
      <c r="E77" s="225"/>
      <c r="F77" s="77"/>
      <c r="G77" s="77"/>
      <c r="H77" s="77"/>
    </row>
    <row r="78" spans="1:9" ht="15.6" customHeight="1" x14ac:dyDescent="0.3">
      <c r="B78" t="s">
        <v>857</v>
      </c>
      <c r="D78" s="224" t="str">
        <f>SUBSTITUTE($F$78,MID($F$78,1,1),UPPER(MID($F$78,1,1)),1)</f>
        <v>Other AI system</v>
      </c>
      <c r="E78" s="225"/>
      <c r="F78" s="56" t="str">
        <f>LEFT(IF($I$49=1,"prohibited AI system, ",IF($I$51=1,"high-risk AI system, ","other AI system, "))&amp;IF($I52=1,"general purpose AI model, ",""),LEN(IF($I$49=1,"prohibited AI system, ",IF($I$51=1,"high-risk AI system, ","other AI system, "))&amp;IF($I52=1,"general purpose AI model, ",""))-2)</f>
        <v>other AI system</v>
      </c>
      <c r="G78" s="77"/>
      <c r="H78" s="77"/>
    </row>
    <row r="79" spans="1:9" ht="15.6" customHeight="1" x14ac:dyDescent="0.3">
      <c r="B79" t="s">
        <v>855</v>
      </c>
      <c r="D79" s="224" t="str">
        <f>IFERROR(LEFT(IF($I$63=1,"Provider, ","")&amp;IF($I$64=1,"Distributor, ","")&amp;IF($I$65=1,"Importer, ","")&amp;IF($I$73=1,"Deployer, ",""),LEN(IF($I$63=1,"Provider, ","")&amp;IF($I$64=1,"Distributor, ","")&amp;IF($I$65=1,"Importer, ","")&amp;IF($I$73=1,"Deployer, ",""))-2),"None")</f>
        <v>None</v>
      </c>
      <c r="E79" s="225"/>
      <c r="F79" s="77"/>
      <c r="G79" s="77"/>
      <c r="H79" s="77"/>
    </row>
    <row r="81" spans="1:8" x14ac:dyDescent="0.3">
      <c r="A81" s="147" t="s">
        <v>191</v>
      </c>
      <c r="B81" s="1" t="s">
        <v>1355</v>
      </c>
    </row>
    <row r="83" spans="1:8" x14ac:dyDescent="0.3">
      <c r="B83" s="181" t="s">
        <v>1575</v>
      </c>
    </row>
    <row r="85" spans="1:8" ht="28.2" customHeight="1" x14ac:dyDescent="0.3">
      <c r="A85" s="6" t="s">
        <v>1356</v>
      </c>
      <c r="B85" s="192" t="str" cm="1">
        <f t="array" aca="1" ref="B85" ca="1">TRIM(INDIRECT("'AI Act E'!$A$"&amp;(37+ROW($B85)-ROW($B$85))))&amp;"?"</f>
        <v>An AI system that interacts directly with individuals, except for those systems authorised by law to detect, prevent, investigate and prosecute criminal offences?</v>
      </c>
      <c r="C85" s="192"/>
      <c r="D85" s="193"/>
      <c r="E85" s="126" t="s">
        <v>31</v>
      </c>
      <c r="F85" s="56" t="str" cm="1">
        <f t="array" aca="1" ref="F85" ca="1">IF($E85="Yes",TRIM(INDIRECT("'AI Act E'!$E$"&amp;(37+ROW($B85)-ROW($B$85)))),"")</f>
        <v/>
      </c>
      <c r="G85" s="56" t="str" cm="1">
        <f t="array" aca="1" ref="G85" ca="1">IF($E85="Yes",TRIM(INDIRECT("'AI Act E'!$F$"&amp;(37+ROW($B85)-ROW($B$85)))),"")</f>
        <v/>
      </c>
      <c r="H85" s="56" t="s">
        <v>1367</v>
      </c>
    </row>
    <row r="86" spans="1:8" ht="14.4" customHeight="1" x14ac:dyDescent="0.3">
      <c r="A86" s="6" t="s">
        <v>1363</v>
      </c>
      <c r="B86" s="192" t="str" cm="1">
        <f t="array" aca="1" ref="B86" ca="1">TRIM(INDIRECT("'AI Act E'!$A$"&amp;(37+ROW($B86)-ROW($B$85))))&amp;"?"</f>
        <v>An AI system that generates synthetic audio, image, video or text content?</v>
      </c>
      <c r="C86" s="192"/>
      <c r="D86" s="193"/>
      <c r="E86" s="126" t="s">
        <v>31</v>
      </c>
      <c r="F86" s="56" t="str" cm="1">
        <f t="array" aca="1" ref="F86" ca="1">IF($E86="Yes",TRIM(INDIRECT("'AI Act E'!$E$"&amp;(37+ROW($B86)-ROW($B$85)))),"")</f>
        <v/>
      </c>
      <c r="G86" s="56" t="str" cm="1">
        <f t="array" aca="1" ref="G86" ca="1">IF($E86="Yes",TRIM(INDIRECT("'AI Act E'!$F$"&amp;(37+ROW($B86)-ROW($B$85)))),"")</f>
        <v/>
      </c>
      <c r="H86" s="56" t="s">
        <v>1367</v>
      </c>
    </row>
    <row r="87" spans="1:8" ht="28.8" customHeight="1" x14ac:dyDescent="0.3">
      <c r="A87" s="6" t="s">
        <v>1364</v>
      </c>
      <c r="B87" s="192" t="str" cm="1">
        <f t="array" aca="1" ref="B87" ca="1">TRIM(INDIRECT("'AI Act E'!$A$"&amp;(37+ROW($B87)-ROW($B$85))))&amp;"?"</f>
        <v>An AI system that infers or detects emotions and intents or does biometric categorization, except for those systems that are permitted by law to detect, prevent and investigate criminal offences?</v>
      </c>
      <c r="C87" s="192"/>
      <c r="D87" s="193"/>
      <c r="E87" s="126" t="s">
        <v>31</v>
      </c>
      <c r="F87" s="56" t="str" cm="1">
        <f t="array" aca="1" ref="F87" ca="1">IF($E87="Yes",TRIM(INDIRECT("'AI Act E'!$E$"&amp;(37+ROW($B87)-ROW($B$85)))),"")</f>
        <v/>
      </c>
      <c r="G87" s="56" t="str" cm="1">
        <f t="array" aca="1" ref="G87" ca="1">IF($E87="Yes",TRIM(INDIRECT("'AI Act E'!$F$"&amp;(37+ROW($B87)-ROW($B$85)))),"")</f>
        <v/>
      </c>
      <c r="H87" s="56" t="s">
        <v>1367</v>
      </c>
    </row>
    <row r="88" spans="1:8" ht="14.4" customHeight="1" x14ac:dyDescent="0.3">
      <c r="A88" s="6" t="s">
        <v>1365</v>
      </c>
      <c r="B88" s="192" t="str" cm="1">
        <f t="array" aca="1" ref="B88" ca="1">TRIM(INDIRECT("'AI Act E'!$A$"&amp;(37+ROW($B88)-ROW($B$85))))&amp;"?"</f>
        <v>An AI system that generates "deep fakes"?</v>
      </c>
      <c r="C88" s="192"/>
      <c r="D88" s="193"/>
      <c r="E88" s="126" t="s">
        <v>31</v>
      </c>
      <c r="F88" s="56" t="str" cm="1">
        <f t="array" aca="1" ref="F88" ca="1">IF($E88="Yes",TRIM(INDIRECT("'AI Act E'!$E$"&amp;(37+ROW($B88)-ROW($B$85)))),"")</f>
        <v/>
      </c>
      <c r="G88" s="56" t="str" cm="1">
        <f t="array" aca="1" ref="G88" ca="1">IF($E88="Yes",TRIM(INDIRECT("'AI Act E'!$F$"&amp;(37+ROW($B88)-ROW($B$85)))),"")</f>
        <v/>
      </c>
      <c r="H88" s="56" t="s">
        <v>1367</v>
      </c>
    </row>
    <row r="89" spans="1:8" x14ac:dyDescent="0.3">
      <c r="A89" s="6" t="s">
        <v>1366</v>
      </c>
      <c r="B89" s="192" t="str" cm="1">
        <f t="array" aca="1" ref="B89" ca="1">TRIM(INDIRECT("'AI Act E'!$A$"&amp;(37+ROW($B89)-ROW($B$85))))&amp;"?"</f>
        <v>AI generation or manipulation of text which is published for the purpose of informing the public?</v>
      </c>
      <c r="C89" s="192"/>
      <c r="D89" s="193"/>
      <c r="E89" s="126" t="s">
        <v>31</v>
      </c>
      <c r="F89" s="56" t="str" cm="1">
        <f t="array" aca="1" ref="F89" ca="1">IF($E89="Yes",TRIM(INDIRECT("'AI Act E'!$E$"&amp;(37+ROW($B89)-ROW($B$85)))),"")</f>
        <v/>
      </c>
      <c r="G89" s="56" t="str" cm="1">
        <f t="array" aca="1" ref="G89" ca="1">IF($E89="Yes",TRIM(INDIRECT("'AI Act E'!$F$"&amp;(37+ROW($B89)-ROW($B$85)))),"")</f>
        <v/>
      </c>
      <c r="H89" s="56" t="s">
        <v>1367</v>
      </c>
    </row>
    <row r="90" spans="1:8" x14ac:dyDescent="0.3">
      <c r="B90" s="40"/>
      <c r="C90" s="40"/>
      <c r="D90" s="40"/>
    </row>
    <row r="91" spans="1:8" x14ac:dyDescent="0.3">
      <c r="B91" s="181" t="s">
        <v>1358</v>
      </c>
    </row>
    <row r="93" spans="1:8" ht="135.6" customHeight="1" x14ac:dyDescent="0.3">
      <c r="B93" s="192" t="s">
        <v>1357</v>
      </c>
      <c r="C93" s="192"/>
      <c r="D93" s="250" t="str">
        <f>IF($I$63=0,"N/A",IF($I$51=0,IF($I$50=1,VLOOKUP("Art. 6 para. 3",'AI Act E'!$C$9:$F$44,4,FALSE),"N/A"),VLOOKUP(LEFT($E$50,250),'AI Act E'!$B$9:$F$44,5,FALSE)))</f>
        <v>N/A</v>
      </c>
      <c r="E93" s="251"/>
      <c r="F93" s="252"/>
    </row>
    <row r="94" spans="1:8" ht="84.6" customHeight="1" x14ac:dyDescent="0.3">
      <c r="B94" s="192" t="s">
        <v>1359</v>
      </c>
      <c r="C94" s="192"/>
      <c r="D94" s="250" t="str">
        <f>IF($I$52=0,"N/A",IF($I$63=0,"N/A",VLOOKUP("Art. 53",'AI Act E'!$C$9:$F$44,4,FALSE)))</f>
        <v>N/A</v>
      </c>
      <c r="E94" s="251"/>
      <c r="F94" s="252"/>
    </row>
    <row r="95" spans="1:8" ht="82.8" customHeight="1" x14ac:dyDescent="0.3">
      <c r="B95" s="87" t="s">
        <v>1360</v>
      </c>
      <c r="D95" s="250" t="str">
        <f>IF($I$63=0,"N/A",TRIM($G$85&amp;" "&amp;$G$86&amp;" "&amp;$G$87&amp;" "&amp;$G$88&amp;" "&amp;$G$89))</f>
        <v>N/A</v>
      </c>
      <c r="E95" s="251"/>
      <c r="F95" s="252"/>
    </row>
    <row r="96" spans="1:8" ht="35.4" customHeight="1" x14ac:dyDescent="0.3">
      <c r="B96" s="87" t="s">
        <v>1361</v>
      </c>
      <c r="D96" s="250" t="str">
        <f>IF($I$63=0,"N/A",TRIM(VLOOKUP("Art. 4",'AI Act E'!$C$9:$F$44,4,FALSE)))</f>
        <v>N/A</v>
      </c>
      <c r="E96" s="251"/>
      <c r="F96" s="252"/>
    </row>
    <row r="98" spans="1:11" x14ac:dyDescent="0.3">
      <c r="B98" s="181" t="s">
        <v>1362</v>
      </c>
    </row>
    <row r="100" spans="1:11" ht="137.4" customHeight="1" x14ac:dyDescent="0.3">
      <c r="B100" s="192" t="s">
        <v>1357</v>
      </c>
      <c r="C100" s="192"/>
      <c r="D100" s="250" t="str">
        <f>IF($I$73=0,"N/A",IF($I$51=0,IF($I$50=1,VLOOKUP("Art. 6 para. 3",'AI Act E'!$C$9:$F$44,3,FALSE),"N/A"),VLOOKUP(LEFT($E$50,250),'AI Act E'!$B$9:$F$44,4,FALSE)))</f>
        <v>N/A</v>
      </c>
      <c r="E100" s="251"/>
      <c r="F100" s="252"/>
    </row>
    <row r="101" spans="1:11" ht="95.4" customHeight="1" x14ac:dyDescent="0.3">
      <c r="B101" s="87" t="s">
        <v>1360</v>
      </c>
      <c r="D101" s="250" t="str">
        <f>IF($I$73=0,"N/A",TRIM($F$85&amp;" "&amp;$F$86&amp;" "&amp;$F$87&amp;" "&amp;$F$88&amp;" "&amp;$F$89))</f>
        <v>N/A</v>
      </c>
      <c r="E101" s="251"/>
      <c r="F101" s="252"/>
    </row>
    <row r="102" spans="1:11" x14ac:dyDescent="0.3">
      <c r="B102" s="87" t="s">
        <v>1361</v>
      </c>
      <c r="D102" s="250" t="str">
        <f>IF($I$73=0,"N/A",TRIM(VLOOKUP("Art. 4",'AI Act E'!$C$9:$F$44,3,FALSE)))</f>
        <v>N/A</v>
      </c>
      <c r="E102" s="251"/>
      <c r="F102" s="252"/>
    </row>
    <row r="104" spans="1:11" x14ac:dyDescent="0.3">
      <c r="B104" s="205"/>
      <c r="C104" s="205"/>
      <c r="D104" s="205"/>
      <c r="E104" s="205"/>
      <c r="F104" s="205"/>
      <c r="G104" s="205"/>
      <c r="H104" s="205"/>
      <c r="I104" s="205"/>
      <c r="J104" s="205"/>
      <c r="K104" s="205"/>
    </row>
    <row r="105" spans="1:11" ht="18" customHeight="1" x14ac:dyDescent="0.3">
      <c r="A105" s="221" t="s">
        <v>441</v>
      </c>
      <c r="B105" s="221"/>
      <c r="C105" s="221"/>
      <c r="D105" s="221"/>
      <c r="E105" s="221"/>
      <c r="F105" s="221"/>
      <c r="G105" s="221"/>
      <c r="H105" s="221"/>
      <c r="I105" s="92"/>
    </row>
    <row r="106" spans="1:11" ht="47.4" customHeight="1" x14ac:dyDescent="0.3">
      <c r="A106" s="249" t="s">
        <v>747</v>
      </c>
      <c r="B106" s="249"/>
      <c r="C106" s="249"/>
      <c r="D106" s="249"/>
      <c r="E106" s="249"/>
      <c r="F106" s="249"/>
      <c r="G106" s="92"/>
      <c r="H106" s="92"/>
      <c r="I106" s="92"/>
    </row>
  </sheetData>
  <sheetProtection sheet="1" objects="1" scenarios="1" formatCells="0" formatColumns="0" formatRows="0"/>
  <protectedRanges>
    <protectedRange sqref="D6:D9 F9 D11 D13:D14 E85:E89" name="Bereich4"/>
    <protectedRange sqref="E49:E50" name="Bereich1_3"/>
    <protectedRange sqref="E48 E51:E52 E56:E65 E71:E73 E85:E89" name="Bereich2_3"/>
    <protectedRange sqref="E48 E51:E52 E56:F65 E71:F73 E85:E89" name="Bereich7_2"/>
  </protectedRanges>
  <mergeCells count="63">
    <mergeCell ref="D100:F100"/>
    <mergeCell ref="D101:F101"/>
    <mergeCell ref="D96:F96"/>
    <mergeCell ref="D102:F102"/>
    <mergeCell ref="D94:F94"/>
    <mergeCell ref="D8:F8"/>
    <mergeCell ref="A1:D1"/>
    <mergeCell ref="A2:E2"/>
    <mergeCell ref="A4:F4"/>
    <mergeCell ref="D6:F6"/>
    <mergeCell ref="D7:F7"/>
    <mergeCell ref="B50:D50"/>
    <mergeCell ref="E50:F50"/>
    <mergeCell ref="G50:H50"/>
    <mergeCell ref="D11:F11"/>
    <mergeCell ref="A13:C13"/>
    <mergeCell ref="D13:F13"/>
    <mergeCell ref="A14:C14"/>
    <mergeCell ref="D14:F14"/>
    <mergeCell ref="B48:D48"/>
    <mergeCell ref="G48:H48"/>
    <mergeCell ref="B49:D49"/>
    <mergeCell ref="E49:F49"/>
    <mergeCell ref="G49:H49"/>
    <mergeCell ref="B64:D64"/>
    <mergeCell ref="G64:H64"/>
    <mergeCell ref="B51:D51"/>
    <mergeCell ref="G51:H51"/>
    <mergeCell ref="B52:D52"/>
    <mergeCell ref="G52:H52"/>
    <mergeCell ref="B56:D56"/>
    <mergeCell ref="G56:H59"/>
    <mergeCell ref="B57:D57"/>
    <mergeCell ref="B58:D58"/>
    <mergeCell ref="B59:D59"/>
    <mergeCell ref="B60:D60"/>
    <mergeCell ref="G60:H63"/>
    <mergeCell ref="B61:D61"/>
    <mergeCell ref="B62:D62"/>
    <mergeCell ref="B63:D63"/>
    <mergeCell ref="B65:D65"/>
    <mergeCell ref="G65:H65"/>
    <mergeCell ref="B67:H67"/>
    <mergeCell ref="B71:D71"/>
    <mergeCell ref="G71:H73"/>
    <mergeCell ref="B72:D72"/>
    <mergeCell ref="B73:D73"/>
    <mergeCell ref="B104:K104"/>
    <mergeCell ref="A105:H105"/>
    <mergeCell ref="A106:F106"/>
    <mergeCell ref="D77:E77"/>
    <mergeCell ref="D78:E78"/>
    <mergeCell ref="D79:E79"/>
    <mergeCell ref="D93:F93"/>
    <mergeCell ref="B93:C93"/>
    <mergeCell ref="B85:D85"/>
    <mergeCell ref="B94:C94"/>
    <mergeCell ref="D95:F95"/>
    <mergeCell ref="B100:C100"/>
    <mergeCell ref="B86:D86"/>
    <mergeCell ref="B87:D87"/>
    <mergeCell ref="B88:D88"/>
    <mergeCell ref="B89:D89"/>
  </mergeCells>
  <conditionalFormatting sqref="A49:H50 B51:H51">
    <cfRule type="expression" dxfId="37" priority="29">
      <formula>$I$48=0</formula>
    </cfRule>
  </conditionalFormatting>
  <conditionalFormatting sqref="B90:D90">
    <cfRule type="expression" dxfId="36" priority="7">
      <formula>$I$48+$I$52=0</formula>
    </cfRule>
  </conditionalFormatting>
  <conditionalFormatting sqref="B57:F59">
    <cfRule type="expression" dxfId="35" priority="26">
      <formula>$E$56="No"</formula>
    </cfRule>
  </conditionalFormatting>
  <conditionalFormatting sqref="B51:H51 G53:H53 E54:H54 B55:D55 G55:H55 B70:D70 G70:H70">
    <cfRule type="expression" dxfId="34" priority="23">
      <formula>$I$50=0</formula>
    </cfRule>
  </conditionalFormatting>
  <conditionalFormatting sqref="B54:H73">
    <cfRule type="expression" dxfId="33" priority="22">
      <formula>$I$48+$I$52=0</formula>
    </cfRule>
  </conditionalFormatting>
  <conditionalFormatting sqref="B60:H63">
    <cfRule type="expression" dxfId="32" priority="28">
      <formula>$I$51=0</formula>
    </cfRule>
  </conditionalFormatting>
  <conditionalFormatting sqref="B64:H64">
    <cfRule type="expression" dxfId="31" priority="27">
      <formula>$I$63=1</formula>
    </cfRule>
  </conditionalFormatting>
  <conditionalFormatting sqref="D78">
    <cfRule type="expression" dxfId="30" priority="24">
      <formula>$I$49=1</formula>
    </cfRule>
    <cfRule type="expression" dxfId="29" priority="25">
      <formula>$I$51=1</formula>
    </cfRule>
  </conditionalFormatting>
  <dataValidations count="1">
    <dataValidation type="list" allowBlank="1" showInputMessage="1" showErrorMessage="1" sqref="E48 E51:E52 E56:E65 E71:E73 E85:E89" xr:uid="{49588056-31D2-4EBE-8439-1736006C4388}">
      <formula1>"(select),Yes,No"</formula1>
    </dataValidation>
  </dataValidations>
  <pageMargins left="0.7" right="0.7" top="0.78740157499999996" bottom="0.78740157499999996" header="0.3" footer="0.3"/>
  <pageSetup paperSize="9" scale="5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6F5B5F-5926-46D6-A577-AA607C21AF1C}">
          <x14:formula1>
            <xm:f>'AI Act E'!$A$19:$A$35</xm:f>
          </x14:formula1>
          <xm:sqref>E50:F50</xm:sqref>
        </x14:dataValidation>
        <x14:dataValidation type="list" allowBlank="1" showInputMessage="1" showErrorMessage="1" xr:uid="{9250F21B-04D8-4457-8045-F83807E85BA6}">
          <x14:formula1>
            <xm:f>'AI Act E'!$A$8:$A$18</xm:f>
          </x14:formula1>
          <xm:sqref>E49:F49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C153-6573-499F-B48A-1D7AEA384937}">
  <sheetPr codeName="Tabelle14">
    <tabColor rgb="FF0070C0"/>
    <pageSetUpPr fitToPage="1"/>
  </sheetPr>
  <dimension ref="A1:K106"/>
  <sheetViews>
    <sheetView showGridLines="0" workbookViewId="0">
      <selection activeCell="D6" sqref="D6:F6"/>
    </sheetView>
  </sheetViews>
  <sheetFormatPr baseColWidth="10" defaultColWidth="11.44140625" defaultRowHeight="14.4" x14ac:dyDescent="0.3"/>
  <cols>
    <col min="1" max="1" width="8.6640625" customWidth="1"/>
    <col min="2" max="2" width="10.109375" customWidth="1"/>
    <col min="3" max="3" width="33.33203125" customWidth="1"/>
    <col min="4" max="4" width="41.88671875" customWidth="1"/>
    <col min="5" max="5" width="12.88671875" customWidth="1"/>
    <col min="6" max="6" width="33.33203125" customWidth="1"/>
    <col min="7" max="7" width="10" customWidth="1"/>
    <col min="8" max="8" width="18.77734375" customWidth="1"/>
    <col min="9" max="9" width="13.109375" customWidth="1"/>
    <col min="10" max="10" width="11.33203125" customWidth="1"/>
    <col min="11" max="11" width="6.109375" customWidth="1"/>
    <col min="12" max="12" width="5" customWidth="1"/>
    <col min="13" max="13" width="9.6640625" customWidth="1"/>
    <col min="14" max="14" width="35" customWidth="1"/>
    <col min="15" max="16" width="9.6640625" customWidth="1"/>
    <col min="17" max="17" width="6" customWidth="1"/>
    <col min="18" max="18" width="23.33203125" customWidth="1"/>
    <col min="19" max="19" width="13" customWidth="1"/>
    <col min="34" max="37" width="2.6640625" customWidth="1"/>
    <col min="38" max="61" width="3.6640625" customWidth="1"/>
  </cols>
  <sheetData>
    <row r="1" spans="1:8" ht="23.4" x14ac:dyDescent="0.45">
      <c r="A1" s="194" t="s">
        <v>1454</v>
      </c>
      <c r="B1" s="194"/>
      <c r="C1" s="194"/>
      <c r="D1" s="194"/>
    </row>
    <row r="2" spans="1:8" x14ac:dyDescent="0.3">
      <c r="A2" s="195" t="s">
        <v>1576</v>
      </c>
      <c r="B2" s="195"/>
      <c r="C2" s="195"/>
      <c r="D2" s="195"/>
      <c r="E2" s="195"/>
    </row>
    <row r="3" spans="1:8" x14ac:dyDescent="0.3">
      <c r="A3" s="63"/>
      <c r="B3" s="63"/>
      <c r="C3" s="63"/>
      <c r="D3" s="63"/>
      <c r="E3" s="63"/>
    </row>
    <row r="4" spans="1:8" ht="50.4" customHeight="1" x14ac:dyDescent="0.3">
      <c r="A4" s="196" t="s">
        <v>1375</v>
      </c>
      <c r="B4" s="196"/>
      <c r="C4" s="196"/>
      <c r="D4" s="196"/>
      <c r="E4" s="196"/>
      <c r="F4" s="196"/>
    </row>
    <row r="5" spans="1:8" x14ac:dyDescent="0.3">
      <c r="A5" s="63"/>
      <c r="B5" s="63"/>
      <c r="C5" s="63"/>
      <c r="D5" s="63"/>
      <c r="E5" s="63"/>
    </row>
    <row r="6" spans="1:8" ht="14.7" customHeight="1" x14ac:dyDescent="0.3">
      <c r="A6" s="1" t="s">
        <v>965</v>
      </c>
      <c r="B6" s="2"/>
      <c r="C6" s="2"/>
      <c r="D6" s="197" t="s">
        <v>77</v>
      </c>
      <c r="E6" s="198"/>
      <c r="F6" s="198"/>
      <c r="G6" s="2"/>
      <c r="H6" s="2"/>
    </row>
    <row r="7" spans="1:8" x14ac:dyDescent="0.3">
      <c r="A7" s="2" t="s">
        <v>966</v>
      </c>
      <c r="B7" s="2"/>
      <c r="C7" s="2"/>
      <c r="D7" s="199" t="s">
        <v>967</v>
      </c>
      <c r="E7" s="200"/>
      <c r="F7" s="200"/>
      <c r="G7" s="2"/>
      <c r="H7" s="2"/>
    </row>
    <row r="8" spans="1:8" x14ac:dyDescent="0.3">
      <c r="A8" s="2" t="s">
        <v>1055</v>
      </c>
      <c r="B8" s="2"/>
      <c r="C8" s="2"/>
      <c r="D8" s="199" t="s">
        <v>78</v>
      </c>
      <c r="E8" s="200"/>
      <c r="F8" s="200"/>
      <c r="G8" s="2"/>
      <c r="H8" s="2"/>
    </row>
    <row r="9" spans="1:8" x14ac:dyDescent="0.3">
      <c r="A9" s="2" t="s">
        <v>1056</v>
      </c>
      <c r="B9" s="2"/>
      <c r="C9" s="2"/>
      <c r="D9" s="62" t="s">
        <v>968</v>
      </c>
      <c r="E9" s="2"/>
      <c r="F9" s="110" t="s">
        <v>1312</v>
      </c>
      <c r="G9" s="2"/>
      <c r="H9" s="2"/>
    </row>
    <row r="10" spans="1:8" x14ac:dyDescent="0.3">
      <c r="A10" s="2"/>
      <c r="B10" s="2"/>
      <c r="C10" s="2"/>
      <c r="D10" s="2"/>
      <c r="E10" s="2"/>
      <c r="F10" s="2"/>
      <c r="G10" s="2"/>
      <c r="H10" s="2"/>
    </row>
    <row r="11" spans="1:8" ht="18" x14ac:dyDescent="0.3">
      <c r="A11" s="1" t="s">
        <v>970</v>
      </c>
      <c r="B11" s="2"/>
      <c r="C11" s="2"/>
      <c r="D11" s="203" t="s">
        <v>971</v>
      </c>
      <c r="E11" s="204"/>
      <c r="F11" s="204"/>
      <c r="G11" s="2"/>
      <c r="H11" s="2"/>
    </row>
    <row r="12" spans="1:8" x14ac:dyDescent="0.3">
      <c r="A12" s="2"/>
      <c r="B12" s="2"/>
      <c r="C12" s="2"/>
      <c r="D12" s="2"/>
      <c r="E12" s="2"/>
      <c r="F12" s="2"/>
      <c r="G12" s="2"/>
      <c r="H12" s="2"/>
    </row>
    <row r="13" spans="1:8" ht="14.4" customHeight="1" x14ac:dyDescent="0.3">
      <c r="A13" s="201" t="s">
        <v>1057</v>
      </c>
      <c r="B13" s="201"/>
      <c r="C13" s="202"/>
      <c r="D13" s="189" t="s">
        <v>972</v>
      </c>
      <c r="E13" s="190"/>
      <c r="F13" s="190"/>
      <c r="G13" s="2"/>
      <c r="H13" s="2"/>
    </row>
    <row r="14" spans="1:8" ht="16.95" customHeight="1" x14ac:dyDescent="0.3">
      <c r="A14" s="201" t="s">
        <v>1058</v>
      </c>
      <c r="B14" s="201"/>
      <c r="C14" s="202"/>
      <c r="D14" s="189" t="s">
        <v>1374</v>
      </c>
      <c r="E14" s="190"/>
      <c r="F14" s="190"/>
      <c r="G14" s="2"/>
      <c r="H14" s="2"/>
    </row>
    <row r="15" spans="1:8" ht="14.4" customHeight="1" x14ac:dyDescent="0.3">
      <c r="A15" s="86"/>
      <c r="B15" s="87"/>
      <c r="D15" s="84"/>
      <c r="E15" s="84"/>
      <c r="F15" s="84"/>
      <c r="G15" s="2"/>
      <c r="H15" s="2"/>
    </row>
    <row r="16" spans="1:8"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spans="1:9" hidden="1" x14ac:dyDescent="0.3"/>
    <row r="34" spans="1:9" hidden="1" x14ac:dyDescent="0.3"/>
    <row r="35" spans="1:9" hidden="1" x14ac:dyDescent="0.3"/>
    <row r="36" spans="1:9" hidden="1" x14ac:dyDescent="0.3"/>
    <row r="37" spans="1:9" hidden="1" x14ac:dyDescent="0.3"/>
    <row r="38" spans="1:9" hidden="1" x14ac:dyDescent="0.3"/>
    <row r="39" spans="1:9" hidden="1" x14ac:dyDescent="0.3"/>
    <row r="40" spans="1:9" hidden="1" x14ac:dyDescent="0.3"/>
    <row r="41" spans="1:9" hidden="1" x14ac:dyDescent="0.3"/>
    <row r="42" spans="1:9" hidden="1" x14ac:dyDescent="0.3"/>
    <row r="43" spans="1:9" hidden="1" x14ac:dyDescent="0.3"/>
    <row r="44" spans="1:9" hidden="1" x14ac:dyDescent="0.3"/>
    <row r="45" spans="1:9" hidden="1" x14ac:dyDescent="0.3"/>
    <row r="46" spans="1:9" x14ac:dyDescent="0.3">
      <c r="A46" s="20" t="s">
        <v>974</v>
      </c>
      <c r="B46" s="20" t="s">
        <v>1007</v>
      </c>
    </row>
    <row r="48" spans="1:9" ht="32.4" customHeight="1" x14ac:dyDescent="0.3">
      <c r="A48" s="6" t="s">
        <v>0</v>
      </c>
      <c r="B48" s="192" t="s">
        <v>1089</v>
      </c>
      <c r="C48" s="192"/>
      <c r="D48" s="193"/>
      <c r="E48" s="144" t="s">
        <v>1050</v>
      </c>
      <c r="G48" s="223" t="str">
        <f>IF($E48="Ja","= vermutlich ein KI-System gemäss AI Act",IF($E48="Nein","= vermutlich kein KI-System gemäss AI Act",""))</f>
        <v/>
      </c>
      <c r="H48" s="223"/>
      <c r="I48" s="79">
        <f>IF(LEFT($G48,16)="= vermutlich ein",1,0)</f>
        <v>0</v>
      </c>
    </row>
    <row r="49" spans="1:9" ht="115.2" customHeight="1" x14ac:dyDescent="0.3">
      <c r="A49" s="6" t="s">
        <v>21</v>
      </c>
      <c r="B49" s="192" t="s">
        <v>1277</v>
      </c>
      <c r="C49" s="192"/>
      <c r="D49" s="193"/>
      <c r="E49" s="189" t="s">
        <v>1050</v>
      </c>
      <c r="F49" s="191"/>
      <c r="G49" s="222" t="str">
        <f>IFERROR(VLOOKUP(LEFT($E49,250),'AI Act D'!$B$9:$D$18,3,FALSE),"")</f>
        <v/>
      </c>
      <c r="H49" s="222"/>
      <c r="I49" s="79">
        <f>IF(LEFT($G49,18)="= wahrscheinlich v",1,0)</f>
        <v>0</v>
      </c>
    </row>
    <row r="50" spans="1:9" ht="114.6" customHeight="1" x14ac:dyDescent="0.3">
      <c r="A50" s="6" t="s">
        <v>22</v>
      </c>
      <c r="B50" s="192" t="s">
        <v>1278</v>
      </c>
      <c r="C50" s="192"/>
      <c r="D50" s="193"/>
      <c r="E50" s="189" t="s">
        <v>1050</v>
      </c>
      <c r="F50" s="191"/>
      <c r="G50" s="222" t="str">
        <f>IF(ISBLANK(IFERROR(VLOOKUP(LEFT($E50,250),'AI Act D'!$B$19:$D$35,3,FALSE),"")),"",IFERROR(VLOOKUP(LEFT($E50,250),'AI Act D'!$B$19:$D$35,3,FALSE),""))</f>
        <v/>
      </c>
      <c r="H50" s="222"/>
      <c r="I50" s="142">
        <f>IF(LEFT($G50,18)="= wahrscheinlich e",1,0)</f>
        <v>0</v>
      </c>
    </row>
    <row r="51" spans="1:9" ht="48" customHeight="1" x14ac:dyDescent="0.3">
      <c r="A51" s="6" t="s">
        <v>23</v>
      </c>
      <c r="B51" s="192" t="s">
        <v>1264</v>
      </c>
      <c r="C51" s="192"/>
      <c r="D51" s="193"/>
      <c r="E51" s="145" t="s">
        <v>1050</v>
      </c>
      <c r="F51" s="141" t="str">
        <f>IF($E$51="Ja","(der Anbieter muss dies dokumentieren und das System registrieren)","")</f>
        <v/>
      </c>
      <c r="G51" s="222" t="str">
        <f>IF($I$50=0,"",IF($E51="Ja","= in Ihrem speziellen Fall ist das KI-System vermutlich nicht hochriskant",IF($E51="(wählen)","","= die de-minimis Ausnahme für Hochrisiko-KI-Systeme findet keine Anwendung")))</f>
        <v/>
      </c>
      <c r="H51" s="222"/>
      <c r="I51" s="79">
        <f>IF($I$50=0,0,IF($E51="Ja",0,1))</f>
        <v>0</v>
      </c>
    </row>
    <row r="52" spans="1:9" ht="47.4" customHeight="1" x14ac:dyDescent="0.3">
      <c r="A52" s="6" t="s">
        <v>24</v>
      </c>
      <c r="B52" s="192" t="s">
        <v>1072</v>
      </c>
      <c r="C52" s="192"/>
      <c r="D52" s="193"/>
      <c r="E52" s="146" t="s">
        <v>1050</v>
      </c>
      <c r="F52" s="141"/>
      <c r="G52" s="223" t="str">
        <f>IF($E52="Ja","= vermutlich ein Allzweck-KI-Modell gemäss AI Act","")</f>
        <v/>
      </c>
      <c r="H52" s="223"/>
      <c r="I52" s="79">
        <f>IF(LEFT($G52,1)="=",1,0)</f>
        <v>0</v>
      </c>
    </row>
    <row r="53" spans="1:9" ht="15" customHeight="1" x14ac:dyDescent="0.3">
      <c r="A53" s="6"/>
      <c r="B53" s="40"/>
      <c r="C53" s="40"/>
      <c r="D53" s="41"/>
      <c r="E53" s="41"/>
      <c r="F53" s="141"/>
      <c r="G53" s="120"/>
      <c r="H53" s="120"/>
      <c r="I53" s="79"/>
    </row>
    <row r="54" spans="1:9" ht="15.6" customHeight="1" x14ac:dyDescent="0.3">
      <c r="A54" s="147" t="s">
        <v>1006</v>
      </c>
      <c r="B54" s="1" t="s">
        <v>1088</v>
      </c>
      <c r="C54" s="40"/>
      <c r="D54" s="41"/>
      <c r="E54" s="41"/>
      <c r="F54" s="141"/>
      <c r="G54" s="120"/>
      <c r="H54" s="120"/>
      <c r="I54" s="79"/>
    </row>
    <row r="55" spans="1:9" ht="11.4" customHeight="1" x14ac:dyDescent="0.3">
      <c r="A55" s="6"/>
      <c r="B55" s="40"/>
      <c r="C55" s="40"/>
      <c r="D55" s="41"/>
      <c r="E55" s="119" t="s">
        <v>1008</v>
      </c>
      <c r="F55" s="119" t="s">
        <v>1083</v>
      </c>
      <c r="G55" s="120"/>
      <c r="H55" s="120"/>
      <c r="I55" s="79"/>
    </row>
    <row r="56" spans="1:9" ht="14.4" customHeight="1" x14ac:dyDescent="0.3">
      <c r="A56" s="6" t="s">
        <v>108</v>
      </c>
      <c r="B56" s="192" t="s">
        <v>1009</v>
      </c>
      <c r="C56" s="192"/>
      <c r="D56" s="193"/>
      <c r="E56" s="126" t="s">
        <v>1050</v>
      </c>
      <c r="F56" s="143"/>
      <c r="G56" s="222" t="str">
        <f>IF(AND($E$56="Ja",OR($E$57="Ja",$E$58="Ja"),$E$59="Ja"),"= Sie fallen vermutlich als Anbieter unter den AI Act","")</f>
        <v/>
      </c>
      <c r="H56" s="222"/>
      <c r="I56" s="56"/>
    </row>
    <row r="57" spans="1:9" ht="14.4" customHeight="1" x14ac:dyDescent="0.3">
      <c r="A57" s="6" t="s">
        <v>109</v>
      </c>
      <c r="B57" s="192" t="s">
        <v>1075</v>
      </c>
      <c r="C57" s="192"/>
      <c r="D57" s="193"/>
      <c r="E57" s="126" t="s">
        <v>1050</v>
      </c>
      <c r="F57" s="143"/>
      <c r="G57" s="222"/>
      <c r="H57" s="222"/>
      <c r="I57" s="56"/>
    </row>
    <row r="58" spans="1:9" ht="14.4" customHeight="1" x14ac:dyDescent="0.3">
      <c r="A58" s="6" t="s">
        <v>667</v>
      </c>
      <c r="B58" s="192" t="s">
        <v>1091</v>
      </c>
      <c r="C58" s="192"/>
      <c r="D58" s="193"/>
      <c r="E58" s="126" t="s">
        <v>1050</v>
      </c>
      <c r="F58" s="143"/>
      <c r="G58" s="222"/>
      <c r="H58" s="222"/>
      <c r="I58" s="56"/>
    </row>
    <row r="59" spans="1:9" ht="14.4" customHeight="1" x14ac:dyDescent="0.3">
      <c r="A59" s="6" t="s">
        <v>668</v>
      </c>
      <c r="B59" s="192" t="s">
        <v>1073</v>
      </c>
      <c r="C59" s="192"/>
      <c r="D59" s="193"/>
      <c r="E59" s="126" t="s">
        <v>1050</v>
      </c>
      <c r="F59" s="143"/>
      <c r="G59" s="222"/>
      <c r="H59" s="222"/>
      <c r="I59" s="56"/>
    </row>
    <row r="60" spans="1:9" ht="14.4" customHeight="1" x14ac:dyDescent="0.3">
      <c r="A60" s="6" t="s">
        <v>669</v>
      </c>
      <c r="B60" s="192" t="s">
        <v>1265</v>
      </c>
      <c r="C60" s="192"/>
      <c r="D60" s="193"/>
      <c r="E60" s="126" t="s">
        <v>1050</v>
      </c>
      <c r="F60" s="143"/>
      <c r="G60" s="222" t="str">
        <f>IF($I51=0,"",IF(OR($E$60="Ja",$E$61="Ja",$E$62="Ja",$E$63="Ja"),"= Sie fallen vermutlich als Anbieter im Sinne von Art. 25 unter den AI Act",""))</f>
        <v/>
      </c>
      <c r="H60" s="222"/>
      <c r="I60" s="56"/>
    </row>
    <row r="61" spans="1:9" ht="14.4" customHeight="1" x14ac:dyDescent="0.3">
      <c r="A61" s="6" t="s">
        <v>670</v>
      </c>
      <c r="B61" s="192" t="s">
        <v>1266</v>
      </c>
      <c r="C61" s="192"/>
      <c r="D61" s="193"/>
      <c r="E61" s="126" t="s">
        <v>1050</v>
      </c>
      <c r="F61" s="143"/>
      <c r="G61" s="222"/>
      <c r="H61" s="222"/>
      <c r="I61" s="56"/>
    </row>
    <row r="62" spans="1:9" ht="30" customHeight="1" x14ac:dyDescent="0.3">
      <c r="A62" s="6" t="s">
        <v>694</v>
      </c>
      <c r="B62" s="192" t="s">
        <v>1079</v>
      </c>
      <c r="C62" s="192"/>
      <c r="D62" s="193"/>
      <c r="E62" s="126" t="s">
        <v>1050</v>
      </c>
      <c r="F62" s="143"/>
      <c r="G62" s="222"/>
      <c r="H62" s="222"/>
      <c r="I62" s="56"/>
    </row>
    <row r="63" spans="1:9" ht="48" customHeight="1" x14ac:dyDescent="0.3">
      <c r="A63" s="6" t="s">
        <v>702</v>
      </c>
      <c r="B63" s="192" t="s">
        <v>1081</v>
      </c>
      <c r="C63" s="192"/>
      <c r="D63" s="193"/>
      <c r="E63" s="126" t="s">
        <v>1050</v>
      </c>
      <c r="F63" s="143"/>
      <c r="G63" s="222"/>
      <c r="H63" s="222"/>
      <c r="I63" s="79">
        <f>IF($G$56&amp;$G$60="",0,1)</f>
        <v>0</v>
      </c>
    </row>
    <row r="64" spans="1:9" ht="33" customHeight="1" x14ac:dyDescent="0.3">
      <c r="A64" s="6" t="s">
        <v>830</v>
      </c>
      <c r="B64" s="192" t="s">
        <v>1010</v>
      </c>
      <c r="C64" s="192"/>
      <c r="D64" s="193"/>
      <c r="E64" s="126" t="s">
        <v>1050</v>
      </c>
      <c r="F64" s="143"/>
      <c r="G64" s="222" t="str">
        <f>IF($I$63=0,IF($E$64="Ja","= Sie fallen vermutlich als Händler unter den AI Act",""),"")</f>
        <v/>
      </c>
      <c r="H64" s="222"/>
      <c r="I64" s="79">
        <f>IF($G$64="",0,1)</f>
        <v>0</v>
      </c>
    </row>
    <row r="65" spans="1:9" ht="33" customHeight="1" x14ac:dyDescent="0.3">
      <c r="A65" s="6" t="s">
        <v>831</v>
      </c>
      <c r="B65" s="192" t="s">
        <v>1082</v>
      </c>
      <c r="C65" s="192"/>
      <c r="D65" s="193"/>
      <c r="E65" s="126" t="s">
        <v>1050</v>
      </c>
      <c r="F65" s="143"/>
      <c r="G65" s="222" t="str">
        <f>IF($E$65="Ja","= Sie fallen vermutlich als Einführer unter den AI Act","")</f>
        <v/>
      </c>
      <c r="H65" s="222"/>
      <c r="I65" s="79">
        <f>IF($G$65="",0,1)</f>
        <v>0</v>
      </c>
    </row>
    <row r="66" spans="1:9" x14ac:dyDescent="0.3">
      <c r="F66" s="77"/>
      <c r="G66" s="77"/>
      <c r="H66" s="77"/>
      <c r="I66" s="56"/>
    </row>
    <row r="67" spans="1:9" ht="26.4" customHeight="1" x14ac:dyDescent="0.3">
      <c r="B67" s="227" t="s">
        <v>1071</v>
      </c>
      <c r="C67" s="227"/>
      <c r="D67" s="227"/>
      <c r="E67" s="227"/>
      <c r="F67" s="227"/>
      <c r="G67" s="227"/>
      <c r="H67" s="227"/>
      <c r="I67" s="56"/>
    </row>
    <row r="68" spans="1:9" x14ac:dyDescent="0.3">
      <c r="F68" s="77"/>
      <c r="G68" s="77"/>
      <c r="H68" s="77"/>
      <c r="I68" s="56"/>
    </row>
    <row r="69" spans="1:9" x14ac:dyDescent="0.3">
      <c r="A69" s="147" t="s">
        <v>1012</v>
      </c>
      <c r="B69" s="1" t="s">
        <v>1087</v>
      </c>
      <c r="C69" s="40"/>
      <c r="D69" s="41"/>
      <c r="E69" s="41"/>
      <c r="F69" s="141"/>
      <c r="G69" s="120"/>
      <c r="H69" s="120"/>
      <c r="I69" s="79"/>
    </row>
    <row r="70" spans="1:9" x14ac:dyDescent="0.3">
      <c r="A70" s="6"/>
      <c r="B70" s="40"/>
      <c r="C70" s="40"/>
      <c r="D70" s="41"/>
      <c r="E70" s="119" t="s">
        <v>1008</v>
      </c>
      <c r="F70" s="119" t="s">
        <v>1083</v>
      </c>
      <c r="G70" s="120"/>
      <c r="H70" s="120"/>
      <c r="I70" s="79"/>
    </row>
    <row r="71" spans="1:9" ht="14.4" customHeight="1" x14ac:dyDescent="0.3">
      <c r="A71" s="6" t="s">
        <v>863</v>
      </c>
      <c r="B71" s="192" t="s">
        <v>1092</v>
      </c>
      <c r="C71" s="192"/>
      <c r="D71" s="193"/>
      <c r="E71" s="126" t="s">
        <v>1050</v>
      </c>
      <c r="F71" s="143"/>
      <c r="G71" s="226" t="str">
        <f>IF(AND($E$71="Ja",OR($E$72="Ja",$E$73="Ja")),"= Sie fallen vermutlich als Betreiber unter den AI Act","")</f>
        <v/>
      </c>
      <c r="H71" s="222"/>
      <c r="I71" s="56"/>
    </row>
    <row r="72" spans="1:9" ht="14.4" customHeight="1" x14ac:dyDescent="0.3">
      <c r="A72" s="6" t="s">
        <v>864</v>
      </c>
      <c r="B72" s="192" t="s">
        <v>1093</v>
      </c>
      <c r="C72" s="192"/>
      <c r="D72" s="193"/>
      <c r="E72" s="126" t="s">
        <v>1050</v>
      </c>
      <c r="F72" s="143"/>
      <c r="G72" s="226"/>
      <c r="H72" s="222"/>
      <c r="I72" s="56"/>
    </row>
    <row r="73" spans="1:9" ht="14.4" customHeight="1" x14ac:dyDescent="0.3">
      <c r="A73" s="6" t="s">
        <v>865</v>
      </c>
      <c r="B73" s="192" t="s">
        <v>1094</v>
      </c>
      <c r="C73" s="192"/>
      <c r="D73" s="193"/>
      <c r="E73" s="126" t="s">
        <v>1050</v>
      </c>
      <c r="F73" s="143"/>
      <c r="G73" s="226"/>
      <c r="H73" s="222"/>
      <c r="I73" s="79">
        <f>IF($G$71="",0,1)</f>
        <v>0</v>
      </c>
    </row>
    <row r="74" spans="1:9" x14ac:dyDescent="0.3">
      <c r="F74" s="77"/>
      <c r="G74" s="77"/>
      <c r="H74" s="77"/>
    </row>
    <row r="75" spans="1:9" x14ac:dyDescent="0.3">
      <c r="A75" s="147" t="s">
        <v>1016</v>
      </c>
      <c r="B75" s="1" t="s">
        <v>1011</v>
      </c>
      <c r="F75" s="77"/>
      <c r="G75" s="77"/>
      <c r="H75" s="77"/>
    </row>
    <row r="76" spans="1:9" x14ac:dyDescent="0.3">
      <c r="B76" s="1"/>
      <c r="F76" s="77"/>
      <c r="G76" s="77"/>
      <c r="H76" s="77"/>
    </row>
    <row r="77" spans="1:9" ht="15.6" customHeight="1" x14ac:dyDescent="0.3">
      <c r="B77" t="s">
        <v>1085</v>
      </c>
      <c r="D77" s="224" t="str">
        <f>IF(AND($I$48+$I$52&gt;0,SUM($I$63:$I$73)&gt;0),"Ja","Nein")</f>
        <v>Nein</v>
      </c>
      <c r="E77" s="225"/>
      <c r="F77" s="77"/>
      <c r="G77" s="77"/>
      <c r="H77" s="77"/>
    </row>
    <row r="78" spans="1:9" ht="15.6" customHeight="1" x14ac:dyDescent="0.3">
      <c r="B78" t="s">
        <v>1086</v>
      </c>
      <c r="D78" s="224" t="str">
        <f>SUBSTITUTE($F$78,MID($F$78,1,1),UPPER(MID($F$78,1,1)),1)</f>
        <v>Anderes KI-System</v>
      </c>
      <c r="E78" s="225"/>
      <c r="F78" s="56" t="str">
        <f>LEFT(IF($I$49=1,"verbotene KI-Anwendung, ",IF($I$51=1,"Hochrisiko-KI-System, ","anderes KI-System, "))&amp;IF($I52=1,"Allzweck KI-Modell, ",""),LEN(IF($I$49=1,"verbotene KI-Anwendung, ",IF($I$51=1,"Hochrisiko-KI-System, ","anderes KI-System, "))&amp;IF($I52=1,"Allzweck KI-Modell, ",""))-2)</f>
        <v>anderes KI-System</v>
      </c>
      <c r="G78" s="77"/>
      <c r="H78" s="77"/>
    </row>
    <row r="79" spans="1:9" ht="15.6" customHeight="1" x14ac:dyDescent="0.3">
      <c r="B79" t="s">
        <v>1051</v>
      </c>
      <c r="D79" s="224" t="str">
        <f>IFERROR(LEFT(IF($I$63=1,"Anbieter, ","")&amp;IF($I$64=1,"Händler, ","")&amp;IF($I$65=1,"Einführer, ","")&amp;IF($I$73=1,"Betreiber, ",""),LEN(IF($I$63=1,"Anbieter, ","")&amp;IF($I$64=1,"Händler, ","")&amp;IF($I$65=1,"Einführer, ","")&amp;IF($I$73=1,"Betreiber, ",""))-2),"Keine")</f>
        <v>Keine</v>
      </c>
      <c r="E79" s="225"/>
      <c r="F79" s="77"/>
      <c r="G79" s="77"/>
      <c r="H79" s="77"/>
    </row>
    <row r="81" spans="1:8" x14ac:dyDescent="0.3">
      <c r="A81" s="147" t="s">
        <v>1027</v>
      </c>
      <c r="B81" s="1" t="s">
        <v>1369</v>
      </c>
    </row>
    <row r="83" spans="1:8" x14ac:dyDescent="0.3">
      <c r="B83" s="181" t="s">
        <v>1574</v>
      </c>
    </row>
    <row r="85" spans="1:8" ht="30" customHeight="1" x14ac:dyDescent="0.3">
      <c r="A85" s="6" t="s">
        <v>1356</v>
      </c>
      <c r="B85" s="192" t="str" cm="1">
        <f t="array" aca="1" ref="B85" ca="1">TRIM(INDIRECT("'AI Act D'!$A$"&amp;(37+ROW($B85)-ROW($B$85))))&amp;"?"</f>
        <v>Ein KI-System, das direkt mit natürlichen Personen interagiert, ausser jene Systeme, die gesetzlich autorisiert sind, um Straftaten zu erkennen, zu verhindern, zu untersuchen und zu verfolgen?</v>
      </c>
      <c r="C85" s="192"/>
      <c r="D85" s="193"/>
      <c r="E85" s="126" t="s">
        <v>1050</v>
      </c>
      <c r="F85" s="56" t="str" cm="1">
        <f t="array" aca="1" ref="F85" ca="1">IF($E85="Ja",TRIM(INDIRECT("'AI Act D'!$E$"&amp;(37+ROW($B85)-ROW($B$85)))),"")</f>
        <v/>
      </c>
      <c r="G85" s="56" t="str" cm="1">
        <f t="array" aca="1" ref="G85" ca="1">IF($E85="Ja",TRIM(INDIRECT("'AI Act D'!$F$"&amp;(37+ROW($B85)-ROW($B$85)))),"")</f>
        <v/>
      </c>
      <c r="H85" s="56" t="s">
        <v>1367</v>
      </c>
    </row>
    <row r="86" spans="1:8" ht="16.8" customHeight="1" x14ac:dyDescent="0.3">
      <c r="A86" s="6" t="s">
        <v>1363</v>
      </c>
      <c r="B86" s="192" t="str" cm="1">
        <f t="array" aca="1" ref="B86" ca="1">TRIM(INDIRECT("'AI Act D'!$A$"&amp;(37+ROW($B86)-ROW($B$85))))&amp;"?"</f>
        <v>Ein KI-System, das synthetische Audio-, Bild-, Video- oder Textinhalte generiert?</v>
      </c>
      <c r="C86" s="192"/>
      <c r="D86" s="193"/>
      <c r="E86" s="126" t="s">
        <v>1050</v>
      </c>
      <c r="F86" s="56" t="str" cm="1">
        <f t="array" aca="1" ref="F86" ca="1">IF($E86="Ja",TRIM(INDIRECT("'AI Act D'!$E$"&amp;(37+ROW($B86)-ROW($B$85)))),"")</f>
        <v/>
      </c>
      <c r="G86" s="56" t="str" cm="1">
        <f t="array" aca="1" ref="G86" ca="1">IF($E86="Ja",TRIM(INDIRECT("'AI Act D'!$F$"&amp;(37+ROW($B86)-ROW($B$85)))),"")</f>
        <v/>
      </c>
      <c r="H86" s="56" t="s">
        <v>1367</v>
      </c>
    </row>
    <row r="87" spans="1:8" ht="45" customHeight="1" x14ac:dyDescent="0.3">
      <c r="A87" s="6" t="s">
        <v>1364</v>
      </c>
      <c r="B87" s="192" t="str" cm="1">
        <f t="array" aca="1" ref="B87" ca="1">TRIM(INDIRECT("'AI Act D'!$A$"&amp;(37+ROW($B87)-ROW($B$85))))&amp;"?"</f>
        <v>Ein KI-System, das Emotionen und Absichten erkennt oder ableitet oder biometrische Kategorisierung durchführt, ausser jene Systeme, die gesetzlich erlaubt sind, um kriminelle Handlungen zu erkennen, zu verhindern und zu untersuchen?</v>
      </c>
      <c r="C87" s="192"/>
      <c r="D87" s="193"/>
      <c r="E87" s="126" t="s">
        <v>1050</v>
      </c>
      <c r="F87" s="56" t="str" cm="1">
        <f t="array" aca="1" ref="F87" ca="1">IF($E87="Ja",TRIM(INDIRECT("'AI Act D'!$E$"&amp;(37+ROW($B87)-ROW($B$85)))),"")</f>
        <v/>
      </c>
      <c r="G87" s="56" t="str" cm="1">
        <f t="array" aca="1" ref="G87" ca="1">IF($E87="Ja",TRIM(INDIRECT("'AI Act D'!$F$"&amp;(37+ROW($B87)-ROW($B$85)))),"")</f>
        <v/>
      </c>
      <c r="H87" s="56" t="s">
        <v>1367</v>
      </c>
    </row>
    <row r="88" spans="1:8" ht="16.2" customHeight="1" x14ac:dyDescent="0.3">
      <c r="A88" s="6" t="s">
        <v>1365</v>
      </c>
      <c r="B88" s="192" t="str" cm="1">
        <f t="array" aca="1" ref="B88" ca="1">TRIM(INDIRECT("'AI Act D'!$A$"&amp;(37+ROW($B88)-ROW($B$85))))&amp;"?"</f>
        <v>Ein KI-System, welches "Deepfakes" erzeugt?</v>
      </c>
      <c r="C88" s="192"/>
      <c r="D88" s="193"/>
      <c r="E88" s="126" t="s">
        <v>1050</v>
      </c>
      <c r="F88" s="56" t="str" cm="1">
        <f t="array" aca="1" ref="F88" ca="1">IF($E88="Ja",TRIM(INDIRECT("'AI Act D'!$E$"&amp;(37+ROW($B88)-ROW($B$85)))),"")</f>
        <v/>
      </c>
      <c r="G88" s="56" t="str" cm="1">
        <f t="array" aca="1" ref="G88" ca="1">IF($E88="Ja",TRIM(INDIRECT("'AI Act D'!$F$"&amp;(37+ROW($B88)-ROW($B$85)))),"")</f>
        <v/>
      </c>
      <c r="H88" s="56" t="s">
        <v>1367</v>
      </c>
    </row>
    <row r="89" spans="1:8" ht="29.4" customHeight="1" x14ac:dyDescent="0.3">
      <c r="A89" s="6" t="s">
        <v>1366</v>
      </c>
      <c r="B89" s="192" t="str" cm="1">
        <f t="array" aca="1" ref="B89" ca="1">TRIM(INDIRECT("'AI Act D'!$A$"&amp;(37+ROW($B89)-ROW($B$85))))&amp;"?"</f>
        <v>KI-Generierung oder -Manipulation von Texten, die zum Zweck der Information der Öffentlichkeit veröffentlicht werden?</v>
      </c>
      <c r="C89" s="192"/>
      <c r="D89" s="193"/>
      <c r="E89" s="126" t="s">
        <v>1050</v>
      </c>
      <c r="F89" s="56" t="str" cm="1">
        <f t="array" aca="1" ref="F89" ca="1">IF($E89="Ja",TRIM(INDIRECT("'AI Act D'!$E$"&amp;(37+ROW($B89)-ROW($B$85)))),"")</f>
        <v/>
      </c>
      <c r="G89" s="56" t="str" cm="1">
        <f t="array" aca="1" ref="G89" ca="1">IF($E89="Ja",TRIM(INDIRECT("'AI Act D'!$F$"&amp;(37+ROW($B89)-ROW($B$85)))),"")</f>
        <v/>
      </c>
      <c r="H89" s="56" t="s">
        <v>1367</v>
      </c>
    </row>
    <row r="90" spans="1:8" x14ac:dyDescent="0.3">
      <c r="B90" s="40"/>
      <c r="C90" s="40"/>
      <c r="D90" s="40"/>
    </row>
    <row r="91" spans="1:8" x14ac:dyDescent="0.3">
      <c r="B91" s="181" t="s">
        <v>1370</v>
      </c>
    </row>
    <row r="93" spans="1:8" ht="174" customHeight="1" x14ac:dyDescent="0.3">
      <c r="B93" s="192" t="s">
        <v>1377</v>
      </c>
      <c r="C93" s="192"/>
      <c r="D93" s="250" t="str">
        <f>IF($I$63=0,"N/A",IF($I$51=0,IF($I$50=1,VLOOKUP("Art. 6 para. 3",'AI Act D'!$C$9:$F$45,4,FALSE),"N/A"),VLOOKUP(LEFT($E$50,250),'AI Act D'!$B$9:$F$45,5,FALSE)))</f>
        <v>N/A</v>
      </c>
      <c r="E93" s="251"/>
      <c r="F93" s="252"/>
    </row>
    <row r="94" spans="1:8" ht="94.2" customHeight="1" x14ac:dyDescent="0.3">
      <c r="B94" s="192" t="s">
        <v>1378</v>
      </c>
      <c r="C94" s="192"/>
      <c r="D94" s="250" t="str">
        <f>IF($I$52=0,"N/A",IF($I$63=0,"N/A",VLOOKUP("Art. 53",'AI Act D'!$C$9:$F$45,4,FALSE)))</f>
        <v>N/A</v>
      </c>
      <c r="E94" s="251"/>
      <c r="F94" s="252"/>
    </row>
    <row r="95" spans="1:8" ht="94.8" customHeight="1" x14ac:dyDescent="0.3">
      <c r="B95" s="87" t="s">
        <v>1371</v>
      </c>
      <c r="D95" s="250" t="str">
        <f>IF($I$63=0,"N/A",TRIM($G$85&amp;" "&amp;$G$86&amp;" "&amp;$G$87&amp;" "&amp;$G$88&amp;" "&amp;$G$89))</f>
        <v>N/A</v>
      </c>
      <c r="E95" s="251"/>
      <c r="F95" s="252"/>
    </row>
    <row r="96" spans="1:8" ht="35.4" customHeight="1" x14ac:dyDescent="0.3">
      <c r="B96" s="87" t="s">
        <v>1372</v>
      </c>
      <c r="D96" s="250" t="str">
        <f>IF($I$63=0,"N/A",TRIM(VLOOKUP("Art. 4",'AI Act D'!$C$9:$F$45,4,FALSE)))</f>
        <v>N/A</v>
      </c>
      <c r="E96" s="251"/>
      <c r="F96" s="252"/>
    </row>
    <row r="98" spans="1:11" x14ac:dyDescent="0.3">
      <c r="B98" s="181" t="s">
        <v>1373</v>
      </c>
    </row>
    <row r="100" spans="1:11" ht="137.4" customHeight="1" x14ac:dyDescent="0.3">
      <c r="B100" s="192" t="s">
        <v>1377</v>
      </c>
      <c r="C100" s="192"/>
      <c r="D100" s="250" t="str">
        <f>IF($I$73=0,"N/A",IF($I$51=0,IF($I$50=1,VLOOKUP("Art. 6 para. 3",'AI Act D'!$C$9:$F$45,3,FALSE),"N/A"),VLOOKUP(LEFT($E$50,250),'AI Act D'!$B$9:$F$45,4,FALSE)))</f>
        <v>N/A</v>
      </c>
      <c r="E100" s="251"/>
      <c r="F100" s="252"/>
    </row>
    <row r="101" spans="1:11" ht="95.4" customHeight="1" x14ac:dyDescent="0.3">
      <c r="B101" s="87" t="s">
        <v>1371</v>
      </c>
      <c r="D101" s="250" t="str">
        <f>IF($I$73=0,"N/A",TRIM($F$85&amp;" "&amp;$F$86&amp;" "&amp;$F$87&amp;" "&amp;$F$88&amp;" "&amp;$F$89))</f>
        <v>N/A</v>
      </c>
      <c r="E101" s="251"/>
      <c r="F101" s="252"/>
    </row>
    <row r="102" spans="1:11" ht="19.8" customHeight="1" x14ac:dyDescent="0.3">
      <c r="B102" s="87" t="s">
        <v>1372</v>
      </c>
      <c r="D102" s="250" t="str">
        <f>IF($I$73=0,"N/A",TRIM(VLOOKUP("Art. 4",'AI Act D'!$C$9:$F$45,3,FALSE)))</f>
        <v>N/A</v>
      </c>
      <c r="E102" s="251"/>
      <c r="F102" s="252"/>
    </row>
    <row r="104" spans="1:11" x14ac:dyDescent="0.3">
      <c r="B104" s="205"/>
      <c r="C104" s="205"/>
      <c r="D104" s="205"/>
      <c r="E104" s="205"/>
      <c r="F104" s="205"/>
      <c r="G104" s="205"/>
      <c r="H104" s="205"/>
      <c r="I104" s="205"/>
      <c r="J104" s="205"/>
      <c r="K104" s="205"/>
    </row>
    <row r="105" spans="1:11" ht="18" customHeight="1" x14ac:dyDescent="0.3">
      <c r="A105" s="221" t="s">
        <v>441</v>
      </c>
      <c r="B105" s="221"/>
      <c r="C105" s="221"/>
      <c r="D105" s="221"/>
      <c r="E105" s="221"/>
      <c r="F105" s="221"/>
      <c r="G105" s="221"/>
      <c r="H105" s="221"/>
      <c r="I105" s="92"/>
    </row>
    <row r="106" spans="1:11" ht="64.2" customHeight="1" x14ac:dyDescent="0.3">
      <c r="A106" s="249" t="s">
        <v>1307</v>
      </c>
      <c r="B106" s="249"/>
      <c r="C106" s="249"/>
      <c r="D106" s="249"/>
      <c r="E106" s="249"/>
      <c r="F106" s="249"/>
      <c r="G106" s="92"/>
      <c r="H106" s="92"/>
      <c r="I106" s="92"/>
    </row>
  </sheetData>
  <sheetProtection sheet="1" objects="1" scenarios="1" formatCells="0" formatColumns="0" formatRows="0"/>
  <protectedRanges>
    <protectedRange sqref="D6 D7 D8 D9 F9 D11 D13 D14 E85:E89" name="Bereich6"/>
    <protectedRange sqref="E48 E51:E52 E56:E65 E71:E73" name="Bereich2"/>
    <protectedRange sqref="E49:E50" name="Bereich1"/>
    <protectedRange sqref="E48 E51:E52 E56:F65 E71:F73" name="Bereich7"/>
    <protectedRange sqref="E85:E89" name="Bereich2_3"/>
    <protectedRange sqref="E85:E89" name="Bereich7_2"/>
  </protectedRanges>
  <mergeCells count="63">
    <mergeCell ref="B104:K104"/>
    <mergeCell ref="A105:H105"/>
    <mergeCell ref="A106:F106"/>
    <mergeCell ref="D95:F95"/>
    <mergeCell ref="D96:F96"/>
    <mergeCell ref="B100:C100"/>
    <mergeCell ref="D100:F100"/>
    <mergeCell ref="D101:F101"/>
    <mergeCell ref="D102:F102"/>
    <mergeCell ref="B88:D88"/>
    <mergeCell ref="B89:D89"/>
    <mergeCell ref="B93:C93"/>
    <mergeCell ref="D93:F93"/>
    <mergeCell ref="B94:C94"/>
    <mergeCell ref="D94:F94"/>
    <mergeCell ref="B87:D87"/>
    <mergeCell ref="B65:D65"/>
    <mergeCell ref="G65:H65"/>
    <mergeCell ref="B67:H67"/>
    <mergeCell ref="B71:D71"/>
    <mergeCell ref="G71:H73"/>
    <mergeCell ref="B72:D72"/>
    <mergeCell ref="B73:D73"/>
    <mergeCell ref="D77:E77"/>
    <mergeCell ref="D78:E78"/>
    <mergeCell ref="D79:E79"/>
    <mergeCell ref="B85:D85"/>
    <mergeCell ref="B86:D86"/>
    <mergeCell ref="B64:D64"/>
    <mergeCell ref="G64:H64"/>
    <mergeCell ref="B51:D51"/>
    <mergeCell ref="G51:H51"/>
    <mergeCell ref="B52:D52"/>
    <mergeCell ref="G52:H52"/>
    <mergeCell ref="B56:D56"/>
    <mergeCell ref="G56:H59"/>
    <mergeCell ref="B57:D57"/>
    <mergeCell ref="B58:D58"/>
    <mergeCell ref="B59:D59"/>
    <mergeCell ref="B60:D60"/>
    <mergeCell ref="G60:H63"/>
    <mergeCell ref="B61:D61"/>
    <mergeCell ref="B62:D62"/>
    <mergeCell ref="B63:D63"/>
    <mergeCell ref="G48:H48"/>
    <mergeCell ref="B49:D49"/>
    <mergeCell ref="E49:F49"/>
    <mergeCell ref="G49:H49"/>
    <mergeCell ref="B50:D50"/>
    <mergeCell ref="E50:F50"/>
    <mergeCell ref="G50:H50"/>
    <mergeCell ref="B48:D48"/>
    <mergeCell ref="D11:F11"/>
    <mergeCell ref="A13:C13"/>
    <mergeCell ref="D13:F13"/>
    <mergeCell ref="A14:C14"/>
    <mergeCell ref="D14:F14"/>
    <mergeCell ref="D8:F8"/>
    <mergeCell ref="A1:D1"/>
    <mergeCell ref="A2:E2"/>
    <mergeCell ref="A4:F4"/>
    <mergeCell ref="D6:F6"/>
    <mergeCell ref="D7:F7"/>
  </mergeCells>
  <conditionalFormatting sqref="A49:A50">
    <cfRule type="expression" dxfId="28" priority="24">
      <formula>$I$48=0</formula>
    </cfRule>
  </conditionalFormatting>
  <conditionalFormatting sqref="B90:D90">
    <cfRule type="expression" dxfId="27" priority="13">
      <formula>$I$48+$I$52=0</formula>
    </cfRule>
  </conditionalFormatting>
  <conditionalFormatting sqref="B57:F59">
    <cfRule type="expression" dxfId="26" priority="5">
      <formula>$E$56="Nein"</formula>
    </cfRule>
  </conditionalFormatting>
  <conditionalFormatting sqref="B49:H51">
    <cfRule type="expression" dxfId="25" priority="8">
      <formula>$I$48=0</formula>
    </cfRule>
  </conditionalFormatting>
  <conditionalFormatting sqref="B51:H51 G53:H53 E54:H54 B55:D55 G55:H55 B70:D70 G70:H70">
    <cfRule type="expression" dxfId="24" priority="2">
      <formula>$I$50=0</formula>
    </cfRule>
  </conditionalFormatting>
  <conditionalFormatting sqref="B54:H73">
    <cfRule type="expression" dxfId="23" priority="1">
      <formula>$I$48+$I$52=0</formula>
    </cfRule>
  </conditionalFormatting>
  <conditionalFormatting sqref="B60:H63">
    <cfRule type="expression" dxfId="22" priority="7">
      <formula>$I$51=0</formula>
    </cfRule>
  </conditionalFormatting>
  <conditionalFormatting sqref="B64:H64">
    <cfRule type="expression" dxfId="21" priority="6">
      <formula>$I$63=1</formula>
    </cfRule>
  </conditionalFormatting>
  <conditionalFormatting sqref="D78">
    <cfRule type="expression" dxfId="20" priority="3">
      <formula>$I$49=1</formula>
    </cfRule>
    <cfRule type="expression" dxfId="19" priority="4">
      <formula>$I$51=1</formula>
    </cfRule>
  </conditionalFormatting>
  <dataValidations count="1">
    <dataValidation type="list" allowBlank="1" showInputMessage="1" showErrorMessage="1" sqref="E85:E89 E56:E65 E51:E52 E48 E71:E73" xr:uid="{88881504-F5F7-42D6-9722-9680F4939460}">
      <formula1>"(wählen),Ja,Nein"</formula1>
    </dataValidation>
  </dataValidations>
  <pageMargins left="0.7" right="0.7" top="0.78740157499999996" bottom="0.78740157499999996" header="0.3" footer="0.3"/>
  <pageSetup paperSize="9" scale="5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D90488C-2E81-47F6-B528-357C53240EF4}">
          <x14:formula1>
            <xm:f>'AI Act D'!$A$19:$A$35</xm:f>
          </x14:formula1>
          <xm:sqref>E50:F50</xm:sqref>
        </x14:dataValidation>
        <x14:dataValidation type="list" allowBlank="1" showInputMessage="1" showErrorMessage="1" xr:uid="{79D5368F-09BC-48A7-ADD5-668D8BFE4806}">
          <x14:formula1>
            <xm:f>'AI Act D'!$A$8:$A$18</xm:f>
          </x14:formula1>
          <xm:sqref>E49:F49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002060"/>
    <pageSetUpPr fitToPage="1"/>
  </sheetPr>
  <dimension ref="A1:N118"/>
  <sheetViews>
    <sheetView showGridLines="0" workbookViewId="0">
      <selection activeCell="D7" sqref="D7"/>
    </sheetView>
  </sheetViews>
  <sheetFormatPr baseColWidth="10" defaultColWidth="11.44140625" defaultRowHeight="14.4" x14ac:dyDescent="0.3"/>
  <cols>
    <col min="1" max="1" width="8.6640625" customWidth="1"/>
    <col min="2" max="2" width="10.109375" customWidth="1"/>
    <col min="3" max="3" width="32.5546875" customWidth="1"/>
    <col min="4" max="4" width="34.33203125" customWidth="1"/>
    <col min="5" max="5" width="13" customWidth="1"/>
    <col min="6" max="6" width="31" customWidth="1"/>
    <col min="7" max="14" width="9.6640625" customWidth="1"/>
    <col min="15" max="15" width="35" customWidth="1"/>
    <col min="16" max="17" width="9.6640625" customWidth="1"/>
    <col min="18" max="18" width="6" customWidth="1"/>
    <col min="19" max="19" width="20.6640625" customWidth="1"/>
    <col min="20" max="20" width="15" customWidth="1"/>
  </cols>
  <sheetData>
    <row r="1" spans="1:8" ht="23.4" x14ac:dyDescent="0.45">
      <c r="A1" s="194" t="s">
        <v>741</v>
      </c>
      <c r="B1" s="194"/>
      <c r="C1" s="194"/>
      <c r="D1" s="194"/>
    </row>
    <row r="2" spans="1:8" x14ac:dyDescent="0.3">
      <c r="A2" s="195" t="str">
        <f>'GAIRA Comprehensive E'!$A$2</f>
        <v>Version 30.3.2024 - with Data Protection Impact Assessment (DPIA) included</v>
      </c>
      <c r="B2" s="195"/>
      <c r="C2" s="195"/>
      <c r="D2" s="195"/>
      <c r="E2" s="195"/>
    </row>
    <row r="3" spans="1:8" x14ac:dyDescent="0.3">
      <c r="A3" s="63"/>
      <c r="B3" s="63"/>
      <c r="C3" s="63"/>
      <c r="D3" s="63"/>
      <c r="E3" s="63"/>
    </row>
    <row r="4" spans="1:8" ht="14.7" customHeight="1" x14ac:dyDescent="0.3">
      <c r="A4" s="1" t="s">
        <v>1</v>
      </c>
      <c r="B4" s="2"/>
      <c r="C4" s="2"/>
      <c r="D4" s="256" t="str">
        <f>'GAIRA Comprehensive E'!$D$6</f>
        <v>Bank ABC</v>
      </c>
      <c r="E4" s="257"/>
      <c r="F4" s="257"/>
      <c r="G4" s="2"/>
      <c r="H4" s="2"/>
    </row>
    <row r="5" spans="1:8" x14ac:dyDescent="0.3">
      <c r="A5" s="2" t="s">
        <v>2</v>
      </c>
      <c r="B5" s="2"/>
      <c r="C5" s="2"/>
      <c r="D5" s="258" t="str">
        <f>'GAIRA Comprehensive E'!$D$7</f>
        <v>Wealth Management</v>
      </c>
      <c r="E5" s="259"/>
      <c r="F5" s="259"/>
      <c r="G5" s="2"/>
      <c r="H5" s="2"/>
    </row>
    <row r="6" spans="1:8" x14ac:dyDescent="0.3">
      <c r="A6" s="1" t="s">
        <v>182</v>
      </c>
      <c r="B6" s="2"/>
      <c r="C6" s="2"/>
      <c r="D6" s="258" t="str">
        <f>'GAIRA Comprehensive E'!$D$8</f>
        <v>Peter Parker</v>
      </c>
      <c r="E6" s="259"/>
      <c r="F6" s="259"/>
      <c r="G6" s="2"/>
      <c r="H6" s="2"/>
    </row>
    <row r="7" spans="1:8" x14ac:dyDescent="0.3">
      <c r="A7" s="2" t="s">
        <v>325</v>
      </c>
      <c r="B7" s="2"/>
      <c r="C7" s="2"/>
      <c r="D7" s="62" t="s">
        <v>17</v>
      </c>
      <c r="E7" s="2"/>
      <c r="F7" s="110">
        <v>45261</v>
      </c>
      <c r="G7" s="2"/>
      <c r="H7" s="2"/>
    </row>
    <row r="8" spans="1:8" x14ac:dyDescent="0.3">
      <c r="A8" s="2" t="s">
        <v>406</v>
      </c>
      <c r="B8" s="2"/>
      <c r="C8" s="2"/>
      <c r="D8" s="200" t="s">
        <v>638</v>
      </c>
      <c r="E8" s="200"/>
      <c r="F8" s="200"/>
      <c r="G8" s="2"/>
      <c r="H8" s="2"/>
    </row>
    <row r="9" spans="1:8" x14ac:dyDescent="0.3">
      <c r="A9" s="2"/>
      <c r="B9" s="2"/>
      <c r="C9" s="2"/>
      <c r="D9" s="2"/>
      <c r="E9" s="2"/>
      <c r="F9" s="2"/>
      <c r="G9" s="2"/>
      <c r="H9" s="2"/>
    </row>
    <row r="10" spans="1:8" ht="18" x14ac:dyDescent="0.3">
      <c r="A10" s="1" t="s">
        <v>183</v>
      </c>
      <c r="B10" s="2"/>
      <c r="C10" s="2"/>
      <c r="D10" s="260" t="str">
        <f>'GAIRA Comprehensive E'!$D$11</f>
        <v>Project Alpha</v>
      </c>
      <c r="E10" s="261"/>
      <c r="F10" s="261"/>
      <c r="G10" s="2"/>
      <c r="H10" s="2"/>
    </row>
    <row r="11" spans="1:8" x14ac:dyDescent="0.3">
      <c r="A11" s="2"/>
      <c r="B11" s="2"/>
      <c r="C11" s="2"/>
      <c r="D11" s="2"/>
      <c r="E11" s="2"/>
      <c r="F11" s="2"/>
      <c r="G11" s="2"/>
      <c r="H11" s="2"/>
    </row>
    <row r="12" spans="1:8" ht="14.4" customHeight="1" x14ac:dyDescent="0.3">
      <c r="A12" s="87" t="s">
        <v>328</v>
      </c>
      <c r="B12" s="85"/>
      <c r="D12" s="253" t="str">
        <f>'GAIRA Comprehensive E'!$D$13</f>
        <v>The implementation and use of the system.</v>
      </c>
      <c r="E12" s="254"/>
      <c r="F12" s="254"/>
      <c r="G12" s="2"/>
      <c r="H12" s="2"/>
    </row>
    <row r="13" spans="1:8" ht="43.2" customHeight="1" x14ac:dyDescent="0.3">
      <c r="A13" s="87" t="s">
        <v>329</v>
      </c>
      <c r="B13" s="85"/>
      <c r="D13" s="253" t="str">
        <f>'GAIRA Comprehensive E'!$D$14</f>
        <v>The underlying cloud infrastructure (i.e. our tenant), including its security</v>
      </c>
      <c r="E13" s="254"/>
      <c r="F13" s="254"/>
      <c r="G13" s="2"/>
      <c r="H13" s="2"/>
    </row>
    <row r="14" spans="1:8" x14ac:dyDescent="0.3">
      <c r="A14" s="2"/>
      <c r="B14" s="2"/>
      <c r="C14" s="2"/>
      <c r="D14" s="2"/>
      <c r="E14" s="2"/>
      <c r="F14" s="2"/>
      <c r="G14" s="2"/>
      <c r="H14" s="2"/>
    </row>
    <row r="15" spans="1:8" ht="15.6" x14ac:dyDescent="0.3">
      <c r="A15" s="3" t="s">
        <v>186</v>
      </c>
      <c r="B15" s="4" t="s">
        <v>327</v>
      </c>
      <c r="C15" s="4"/>
      <c r="D15" s="2"/>
      <c r="E15" s="2"/>
      <c r="F15" s="2"/>
      <c r="G15" s="2"/>
      <c r="H15" s="5"/>
    </row>
    <row r="16" spans="1:8" x14ac:dyDescent="0.3">
      <c r="A16" s="2"/>
      <c r="B16" s="2"/>
      <c r="C16" s="2"/>
      <c r="D16" s="2"/>
      <c r="E16" s="2"/>
      <c r="F16" s="2"/>
      <c r="G16" s="2"/>
      <c r="H16" s="2"/>
    </row>
    <row r="17" spans="1:8" ht="15.6" customHeight="1" x14ac:dyDescent="0.3">
      <c r="A17" s="6" t="s">
        <v>0</v>
      </c>
      <c r="B17" s="192" t="s">
        <v>184</v>
      </c>
      <c r="C17" s="193"/>
      <c r="D17" s="253" t="str">
        <f>'GAIRA Comprehensive E'!$D$22</f>
        <v>Meetings of our relationship managers with our wealth management clients.</v>
      </c>
      <c r="E17" s="254"/>
      <c r="F17" s="254"/>
      <c r="G17" s="254"/>
      <c r="H17" s="255"/>
    </row>
    <row r="18" spans="1:8" ht="107.4" customHeight="1" x14ac:dyDescent="0.3">
      <c r="A18" s="6" t="s">
        <v>21</v>
      </c>
      <c r="B18" s="192" t="s">
        <v>3</v>
      </c>
      <c r="C18" s="193"/>
      <c r="D18" s="253" t="str">
        <f>'GAIRA Comprehensive E'!$D$23</f>
        <v xml:space="preserve">The bank wishes to implement a system that will use an AI solution to automatically record, transcribe and summarize all client-relationship and advisory meetings. Also, the system will automatically extract relevant information for the CRM system that is still missing or is newer. As part of this, the system will be used to identify potentials of net new assets of a client. The clients will be asked whether they agree to the use of the system with regard to their relationship. If so, the system will cover all interactions, whether via e-mail, phone or in person meetings. The data transcribed, summarized and extracted can be reviewed by the client's relationship manager. All recordings and other communications with the clients will be stored in our cloud tenant until it has been processed and then deleted. </v>
      </c>
      <c r="E18" s="254"/>
      <c r="F18" s="254"/>
      <c r="G18" s="254"/>
      <c r="H18" s="255"/>
    </row>
    <row r="19" spans="1:8" ht="27.6" customHeight="1" x14ac:dyDescent="0.3">
      <c r="A19" s="6" t="s">
        <v>22</v>
      </c>
      <c r="B19" s="192" t="s">
        <v>4</v>
      </c>
      <c r="C19" s="193"/>
      <c r="D19" s="253" t="str">
        <f>'GAIRA Comprehensive E'!$D$24</f>
        <v>The bank wishes to increase the quality and completeness of the data it maintains with regard to its clients, and wishes to increase the efficiency of its relationship managers.</v>
      </c>
      <c r="E19" s="254"/>
      <c r="F19" s="254"/>
      <c r="G19" s="254"/>
      <c r="H19" s="255"/>
    </row>
    <row r="20" spans="1:8" ht="14.4" customHeight="1" x14ac:dyDescent="0.3">
      <c r="A20" s="6" t="s">
        <v>23</v>
      </c>
      <c r="B20" s="192" t="s">
        <v>777</v>
      </c>
      <c r="C20" s="193"/>
      <c r="D20" s="253" t="str">
        <f>'GAIRA Comprehensive E'!$D$25</f>
        <v>We use the DeltaPI-4 LLM, and CloudCo's service with which we can make available the LLM in our own CloudCo tenant.</v>
      </c>
      <c r="E20" s="254"/>
      <c r="F20" s="254"/>
      <c r="G20" s="254"/>
      <c r="H20" s="255"/>
    </row>
    <row r="21" spans="1:8" ht="27.6" customHeight="1" x14ac:dyDescent="0.3">
      <c r="A21" s="6" t="s">
        <v>24</v>
      </c>
      <c r="B21" s="192" t="s">
        <v>5</v>
      </c>
      <c r="C21" s="193"/>
      <c r="D21" s="253" t="str">
        <f>'GAIRA Comprehensive E'!$D$26</f>
        <v xml:space="preserve">CloudCo will be our provider who both runs our tenant (in a Swiss data center) and provides the AI services, through which we can make use of the DeltaPI-4 model. We have also used SoftCo as our implementation partner. </v>
      </c>
      <c r="E21" s="254"/>
      <c r="F21" s="254"/>
      <c r="G21" s="254"/>
      <c r="H21" s="255"/>
    </row>
    <row r="22" spans="1:8" x14ac:dyDescent="0.3">
      <c r="A22" s="6" t="s">
        <v>25</v>
      </c>
      <c r="B22" s="192" t="s">
        <v>6</v>
      </c>
      <c r="C22" s="193"/>
      <c r="D22" s="253" t="str">
        <f>'GAIRA Comprehensive E'!$D$27</f>
        <v>The input are the recordings of meetings and phone calls, the e-mails received from the client and other communications. We further allow the application to access the client's existing CRM records.</v>
      </c>
      <c r="E22" s="254"/>
      <c r="F22" s="254"/>
      <c r="G22" s="254"/>
      <c r="H22" s="255"/>
    </row>
    <row r="23" spans="1:8" x14ac:dyDescent="0.3">
      <c r="A23" s="6" t="s">
        <v>26</v>
      </c>
      <c r="B23" s="192" t="s">
        <v>7</v>
      </c>
      <c r="C23" s="193"/>
      <c r="D23" s="253" t="str">
        <f>'GAIRA Comprehensive E'!$D$28</f>
        <v>The output are the transcripts, the summaries and the data extracted, with all such output being imported into the CRM.</v>
      </c>
      <c r="E23" s="254"/>
      <c r="F23" s="254"/>
      <c r="G23" s="254"/>
      <c r="H23" s="255"/>
    </row>
    <row r="24" spans="1:8" x14ac:dyDescent="0.3">
      <c r="A24" s="6" t="s">
        <v>27</v>
      </c>
      <c r="B24" s="192" t="s">
        <v>758</v>
      </c>
      <c r="C24" s="193"/>
      <c r="D24" s="253" t="str">
        <f>'GAIRA Comprehensive E'!$D$29</f>
        <v>Daily</v>
      </c>
      <c r="E24" s="254"/>
      <c r="F24" s="254"/>
      <c r="G24" s="254"/>
      <c r="H24" s="255"/>
    </row>
    <row r="25" spans="1:8" ht="14.4" customHeight="1" x14ac:dyDescent="0.3">
      <c r="A25" s="6" t="s">
        <v>28</v>
      </c>
      <c r="B25" s="192" t="s">
        <v>61</v>
      </c>
      <c r="C25" s="193"/>
      <c r="D25" s="253" t="str">
        <f>'GAIRA Comprehensive E'!$D$30</f>
        <v>No training of the model; prompts are augmented by existing CRM records.</v>
      </c>
      <c r="E25" s="254"/>
      <c r="F25" s="254"/>
      <c r="G25" s="254"/>
      <c r="H25" s="255"/>
    </row>
    <row r="26" spans="1:8" x14ac:dyDescent="0.3">
      <c r="A26" s="6" t="s">
        <v>29</v>
      </c>
      <c r="B26" s="192" t="s">
        <v>324</v>
      </c>
      <c r="C26" s="193"/>
      <c r="D26" s="253" t="str">
        <f>'GAIRA Comprehensive E'!$D$31</f>
        <v>Relationship managers, clients and people they refer to in their communications.</v>
      </c>
      <c r="E26" s="254"/>
      <c r="F26" s="254"/>
      <c r="G26" s="254"/>
      <c r="H26" s="255"/>
    </row>
    <row r="27" spans="1:8" ht="14.4" customHeight="1" x14ac:dyDescent="0.3">
      <c r="A27" s="6" t="s">
        <v>62</v>
      </c>
      <c r="B27" s="192" t="s">
        <v>323</v>
      </c>
      <c r="C27" s="193"/>
      <c r="D27" s="253" t="str">
        <f>'GAIRA Comprehensive E'!$D$32</f>
        <v>Content of meetings, content of communications (calls, e-mails, letters).</v>
      </c>
      <c r="E27" s="254"/>
      <c r="F27" s="254"/>
      <c r="G27" s="254"/>
      <c r="H27" s="255"/>
    </row>
    <row r="28" spans="1:8" ht="14.4" customHeight="1" x14ac:dyDescent="0.3">
      <c r="A28" s="6" t="s">
        <v>106</v>
      </c>
      <c r="B28" s="192" t="s">
        <v>761</v>
      </c>
      <c r="C28" s="193"/>
      <c r="D28" s="253" t="str">
        <f>'GAIRA Comprehensive E'!$D$33</f>
        <v>None</v>
      </c>
      <c r="E28" s="254"/>
      <c r="F28" s="254"/>
      <c r="G28" s="254"/>
      <c r="H28" s="255"/>
    </row>
    <row r="29" spans="1:8" ht="14.4" customHeight="1" x14ac:dyDescent="0.3">
      <c r="A29" s="6" t="s">
        <v>107</v>
      </c>
      <c r="B29" s="192" t="s">
        <v>760</v>
      </c>
      <c r="C29" s="193"/>
      <c r="D29" s="253" t="str">
        <f>'GAIRA Comprehensive E'!$D$34</f>
        <v>The output generated will be reviewed by the relationship manager.</v>
      </c>
      <c r="E29" s="254"/>
      <c r="F29" s="254"/>
      <c r="G29" s="254"/>
      <c r="H29" s="255"/>
    </row>
    <row r="30" spans="1:8" ht="14.4" customHeight="1" x14ac:dyDescent="0.3">
      <c r="A30" s="6" t="s">
        <v>367</v>
      </c>
      <c r="B30" s="192" t="s">
        <v>767</v>
      </c>
      <c r="C30" s="193"/>
      <c r="D30" s="253" t="str">
        <f>'GAIRA Comprehensive E'!$D$35</f>
        <v>Reporting to the application owner for analysis and remediation with the application engineers.</v>
      </c>
      <c r="E30" s="254"/>
      <c r="F30" s="254"/>
      <c r="G30" s="254"/>
      <c r="H30" s="255"/>
    </row>
    <row r="31" spans="1:8" x14ac:dyDescent="0.3">
      <c r="A31" s="6" t="s">
        <v>383</v>
      </c>
      <c r="B31" s="192" t="s">
        <v>8</v>
      </c>
      <c r="C31" s="193"/>
      <c r="D31" s="253" t="str">
        <f>'GAIRA Comprehensive E'!$D$36</f>
        <v>A pilot phase in Q2 2024 with a full roll-out in Q3 2024.</v>
      </c>
      <c r="E31" s="254"/>
      <c r="F31" s="254"/>
      <c r="G31" s="254"/>
      <c r="H31" s="255"/>
    </row>
    <row r="32" spans="1:8" ht="14.4" customHeight="1" x14ac:dyDescent="0.3">
      <c r="A32" s="6" t="s">
        <v>762</v>
      </c>
      <c r="B32" s="192" t="s">
        <v>9</v>
      </c>
      <c r="C32" s="193"/>
      <c r="D32" s="253" t="str">
        <f>'GAIRA Comprehensive E'!$D$37</f>
        <v>The bank has opt-out from the CloudCo's content filtering and abuse monitoring.</v>
      </c>
      <c r="E32" s="254"/>
      <c r="F32" s="254"/>
      <c r="G32" s="254"/>
      <c r="H32" s="255"/>
    </row>
    <row r="34" spans="1:12" x14ac:dyDescent="0.3">
      <c r="A34" s="6" t="s">
        <v>763</v>
      </c>
      <c r="B34" t="s">
        <v>30</v>
      </c>
      <c r="D34" s="253" t="str">
        <f>'GAIRA Comprehensive E'!$D$39</f>
        <v>Higher quality of data and more data about clients, which will also result in better treatment of clients. Higher efficiency.</v>
      </c>
      <c r="E34" s="254"/>
      <c r="F34" s="254"/>
      <c r="G34" s="254"/>
      <c r="H34" s="255"/>
    </row>
    <row r="36" spans="1:12" x14ac:dyDescent="0.3">
      <c r="A36" s="6" t="s">
        <v>764</v>
      </c>
      <c r="B36" s="2" t="s">
        <v>389</v>
      </c>
      <c r="C36" s="2"/>
      <c r="D36" s="103">
        <f>'GAIRA Comprehensive E'!$D$41</f>
        <v>0</v>
      </c>
      <c r="E36" s="102" t="s">
        <v>385</v>
      </c>
      <c r="F36" s="262">
        <f>'GAIRA Comprehensive E'!$F$41</f>
        <v>0</v>
      </c>
      <c r="G36" s="262"/>
      <c r="H36" s="262"/>
    </row>
    <row r="37" spans="1:12" x14ac:dyDescent="0.3">
      <c r="A37" s="6" t="s">
        <v>765</v>
      </c>
      <c r="B37" s="2" t="s">
        <v>390</v>
      </c>
      <c r="C37" s="2"/>
      <c r="D37" s="103">
        <f>'GAIRA Comprehensive E'!$D$42</f>
        <v>0</v>
      </c>
      <c r="F37" s="262"/>
      <c r="G37" s="262"/>
      <c r="H37" s="262"/>
    </row>
    <row r="38" spans="1:12" ht="45.6" customHeight="1" x14ac:dyDescent="0.3">
      <c r="B38" s="95" t="s">
        <v>387</v>
      </c>
      <c r="F38" s="262"/>
      <c r="G38" s="262"/>
      <c r="H38" s="262"/>
    </row>
    <row r="40" spans="1:12" ht="15.6" x14ac:dyDescent="0.3">
      <c r="A40" s="3" t="s">
        <v>188</v>
      </c>
      <c r="B40" s="4" t="s">
        <v>285</v>
      </c>
      <c r="E40" s="56"/>
    </row>
    <row r="41" spans="1:12" x14ac:dyDescent="0.3">
      <c r="E41" s="56"/>
    </row>
    <row r="42" spans="1:12" ht="54" customHeight="1" x14ac:dyDescent="0.3">
      <c r="B42" s="205" t="s">
        <v>439</v>
      </c>
      <c r="C42" s="205"/>
      <c r="D42" s="205"/>
      <c r="E42" s="205"/>
      <c r="F42" s="205"/>
      <c r="G42" s="109"/>
      <c r="H42" s="109"/>
    </row>
    <row r="43" spans="1:12" x14ac:dyDescent="0.3">
      <c r="E43" s="56"/>
    </row>
    <row r="44" spans="1:12" x14ac:dyDescent="0.3">
      <c r="B44" s="10" t="s">
        <v>121</v>
      </c>
      <c r="C44" s="10" t="s">
        <v>197</v>
      </c>
      <c r="D44" s="10" t="s">
        <v>275</v>
      </c>
      <c r="E44" s="61" t="s">
        <v>192</v>
      </c>
      <c r="F44" s="10" t="s">
        <v>193</v>
      </c>
      <c r="G44" s="80" t="s">
        <v>252</v>
      </c>
      <c r="J44" s="56"/>
      <c r="K44" s="56"/>
      <c r="L44" s="56"/>
    </row>
    <row r="45" spans="1:12" ht="40.799999999999997" x14ac:dyDescent="0.3">
      <c r="A45" s="29">
        <v>4.01</v>
      </c>
      <c r="B45" s="67" t="s">
        <v>16</v>
      </c>
      <c r="C45" s="68" t="s">
        <v>195</v>
      </c>
      <c r="D45" s="82" t="s">
        <v>288</v>
      </c>
      <c r="E45" s="45" t="s">
        <v>194</v>
      </c>
      <c r="F45" s="114" t="s">
        <v>629</v>
      </c>
      <c r="G45" s="80" t="s">
        <v>209</v>
      </c>
      <c r="H45" s="79" t="str">
        <f>IF($E45="Yes",$G45,"")</f>
        <v>A</v>
      </c>
    </row>
    <row r="46" spans="1:12" ht="30.6" x14ac:dyDescent="0.3">
      <c r="A46" s="29">
        <f>MAX($A$45:$A45)+0.01</f>
        <v>4.0199999999999996</v>
      </c>
      <c r="B46" s="67" t="s">
        <v>16</v>
      </c>
      <c r="C46" s="68" t="s">
        <v>196</v>
      </c>
      <c r="D46" s="82" t="s">
        <v>274</v>
      </c>
      <c r="E46" s="45" t="s">
        <v>194</v>
      </c>
      <c r="F46" s="114"/>
      <c r="G46" s="80" t="s">
        <v>214</v>
      </c>
      <c r="H46" s="79" t="str">
        <f t="shared" ref="H46:H61" si="0">IF($E46="Yes",$G46,"")</f>
        <v>B</v>
      </c>
    </row>
    <row r="47" spans="1:12" ht="40.799999999999997" x14ac:dyDescent="0.3">
      <c r="A47" s="29">
        <f>MAX($A$45:$A46)+0.01</f>
        <v>4.0299999999999994</v>
      </c>
      <c r="B47" s="67" t="s">
        <v>120</v>
      </c>
      <c r="C47" s="68" t="s">
        <v>413</v>
      </c>
      <c r="D47" s="82" t="s">
        <v>414</v>
      </c>
      <c r="E47" s="45" t="s">
        <v>202</v>
      </c>
      <c r="F47" s="114"/>
      <c r="G47" s="80" t="s">
        <v>214</v>
      </c>
      <c r="H47" s="79" t="str">
        <f t="shared" si="0"/>
        <v/>
      </c>
    </row>
    <row r="48" spans="1:12" ht="61.2" x14ac:dyDescent="0.3">
      <c r="A48" s="29">
        <f>MAX($A$45:$A47)+0.01</f>
        <v>4.0399999999999991</v>
      </c>
      <c r="B48" s="67" t="s">
        <v>67</v>
      </c>
      <c r="C48" s="68" t="s">
        <v>198</v>
      </c>
      <c r="D48" s="82" t="s">
        <v>442</v>
      </c>
      <c r="E48" s="45" t="s">
        <v>194</v>
      </c>
      <c r="F48" s="114" t="s">
        <v>628</v>
      </c>
      <c r="G48" s="80" t="s">
        <v>212</v>
      </c>
      <c r="H48" s="79" t="str">
        <f t="shared" si="0"/>
        <v>C</v>
      </c>
    </row>
    <row r="49" spans="1:8" ht="24" x14ac:dyDescent="0.3">
      <c r="A49" s="29">
        <f>MAX($A$45:$A48)+0.01</f>
        <v>4.0499999999999989</v>
      </c>
      <c r="B49" s="67" t="s">
        <v>67</v>
      </c>
      <c r="C49" s="68" t="s">
        <v>199</v>
      </c>
      <c r="D49" s="82" t="s">
        <v>276</v>
      </c>
      <c r="E49" s="45" t="s">
        <v>202</v>
      </c>
      <c r="F49" s="114" t="s">
        <v>627</v>
      </c>
      <c r="G49" s="80" t="s">
        <v>215</v>
      </c>
      <c r="H49" s="79" t="str">
        <f t="shared" si="0"/>
        <v/>
      </c>
    </row>
    <row r="50" spans="1:8" ht="40.799999999999997" x14ac:dyDescent="0.3">
      <c r="A50" s="29">
        <f>MAX($A$45:$A49)+0.01</f>
        <v>4.0599999999999987</v>
      </c>
      <c r="B50" s="67" t="s">
        <v>13</v>
      </c>
      <c r="C50" s="68" t="s">
        <v>200</v>
      </c>
      <c r="D50" s="82" t="s">
        <v>277</v>
      </c>
      <c r="E50" s="45" t="s">
        <v>194</v>
      </c>
      <c r="F50" s="114" t="s">
        <v>626</v>
      </c>
      <c r="G50" s="80" t="s">
        <v>210</v>
      </c>
      <c r="H50" s="79" t="str">
        <f t="shared" si="0"/>
        <v>E</v>
      </c>
    </row>
    <row r="51" spans="1:8" ht="30.6" x14ac:dyDescent="0.3">
      <c r="A51" s="29">
        <f>MAX($A$45:$A50)+0.01</f>
        <v>4.0699999999999985</v>
      </c>
      <c r="B51" s="67" t="s">
        <v>13</v>
      </c>
      <c r="C51" s="68" t="s">
        <v>201</v>
      </c>
      <c r="D51" s="82" t="s">
        <v>278</v>
      </c>
      <c r="E51" s="45" t="s">
        <v>202</v>
      </c>
      <c r="F51" s="114"/>
      <c r="G51" s="80" t="s">
        <v>213</v>
      </c>
      <c r="H51" s="79" t="str">
        <f t="shared" si="0"/>
        <v/>
      </c>
    </row>
    <row r="52" spans="1:8" ht="40.799999999999997" x14ac:dyDescent="0.3">
      <c r="A52" s="29">
        <f>MAX($A$45:$A51)+0.01</f>
        <v>4.0799999999999983</v>
      </c>
      <c r="B52" s="67" t="s">
        <v>19</v>
      </c>
      <c r="C52" s="68" t="s">
        <v>206</v>
      </c>
      <c r="D52" s="82" t="s">
        <v>279</v>
      </c>
      <c r="E52" s="45" t="s">
        <v>194</v>
      </c>
      <c r="F52" s="114" t="s">
        <v>625</v>
      </c>
      <c r="G52" s="80" t="s">
        <v>216</v>
      </c>
      <c r="H52" s="79" t="str">
        <f t="shared" si="0"/>
        <v>G</v>
      </c>
    </row>
    <row r="53" spans="1:8" ht="40.799999999999997" x14ac:dyDescent="0.3">
      <c r="A53" s="29">
        <f>MAX($A$45:$A52)+0.01</f>
        <v>4.0899999999999981</v>
      </c>
      <c r="B53" s="67" t="s">
        <v>19</v>
      </c>
      <c r="C53" s="68" t="s">
        <v>281</v>
      </c>
      <c r="D53" s="82" t="s">
        <v>368</v>
      </c>
      <c r="E53" s="45" t="s">
        <v>194</v>
      </c>
      <c r="F53" s="114"/>
      <c r="G53" s="80" t="s">
        <v>217</v>
      </c>
      <c r="H53" s="79" t="str">
        <f t="shared" si="0"/>
        <v>H</v>
      </c>
    </row>
    <row r="54" spans="1:8" ht="30.6" x14ac:dyDescent="0.3">
      <c r="A54" s="29">
        <f>MAX($A$45:$A53)+0.01</f>
        <v>4.0999999999999979</v>
      </c>
      <c r="B54" s="67" t="s">
        <v>19</v>
      </c>
      <c r="C54" s="68" t="s">
        <v>282</v>
      </c>
      <c r="D54" s="82" t="s">
        <v>280</v>
      </c>
      <c r="E54" s="45" t="s">
        <v>202</v>
      </c>
      <c r="F54" s="114"/>
      <c r="G54" s="80" t="s">
        <v>218</v>
      </c>
      <c r="H54" s="79" t="str">
        <f t="shared" si="0"/>
        <v/>
      </c>
    </row>
    <row r="55" spans="1:8" ht="30.6" x14ac:dyDescent="0.3">
      <c r="A55" s="29">
        <f>MAX($A$45:$A54)+0.01</f>
        <v>4.1099999999999977</v>
      </c>
      <c r="B55" s="67" t="s">
        <v>19</v>
      </c>
      <c r="C55" s="68" t="s">
        <v>283</v>
      </c>
      <c r="D55" s="82" t="s">
        <v>297</v>
      </c>
      <c r="E55" s="45" t="s">
        <v>202</v>
      </c>
      <c r="F55" s="114"/>
      <c r="G55" s="80" t="s">
        <v>219</v>
      </c>
      <c r="H55" s="79" t="str">
        <f t="shared" si="0"/>
        <v/>
      </c>
    </row>
    <row r="56" spans="1:8" ht="51" x14ac:dyDescent="0.3">
      <c r="A56" s="29">
        <f>MAX($A$45:$A55)+0.01</f>
        <v>4.1199999999999974</v>
      </c>
      <c r="B56" s="67" t="s">
        <v>19</v>
      </c>
      <c r="C56" s="68" t="s">
        <v>284</v>
      </c>
      <c r="D56" s="82" t="s">
        <v>290</v>
      </c>
      <c r="E56" s="45" t="s">
        <v>202</v>
      </c>
      <c r="F56" s="114"/>
      <c r="G56" s="80" t="s">
        <v>220</v>
      </c>
      <c r="H56" s="79" t="str">
        <f t="shared" si="0"/>
        <v/>
      </c>
    </row>
    <row r="57" spans="1:8" ht="24" x14ac:dyDescent="0.3">
      <c r="A57" s="29">
        <f>MAX($A$45:$A56)+0.01</f>
        <v>4.1299999999999972</v>
      </c>
      <c r="B57" s="67" t="s">
        <v>246</v>
      </c>
      <c r="C57" s="68" t="s">
        <v>298</v>
      </c>
      <c r="D57" s="82" t="s">
        <v>286</v>
      </c>
      <c r="E57" s="45" t="s">
        <v>194</v>
      </c>
      <c r="F57" s="114" t="s">
        <v>630</v>
      </c>
      <c r="G57" s="80" t="s">
        <v>221</v>
      </c>
      <c r="H57" s="79" t="str">
        <f t="shared" si="0"/>
        <v>L</v>
      </c>
    </row>
    <row r="58" spans="1:8" ht="30.6" x14ac:dyDescent="0.3">
      <c r="A58" s="29">
        <f>MAX($A$45:$A57)+0.01</f>
        <v>4.139999999999997</v>
      </c>
      <c r="B58" s="67" t="s">
        <v>19</v>
      </c>
      <c r="C58" s="68" t="s">
        <v>248</v>
      </c>
      <c r="D58" s="82" t="s">
        <v>393</v>
      </c>
      <c r="E58" s="45" t="s">
        <v>194</v>
      </c>
      <c r="F58" s="114" t="s">
        <v>631</v>
      </c>
      <c r="G58" s="80" t="s">
        <v>222</v>
      </c>
      <c r="H58" s="79" t="str">
        <f t="shared" si="0"/>
        <v>M</v>
      </c>
    </row>
    <row r="59" spans="1:8" ht="51" x14ac:dyDescent="0.3">
      <c r="A59" s="29">
        <f>MAX($A$45:$A58)+0.01</f>
        <v>4.1499999999999968</v>
      </c>
      <c r="B59" s="67" t="s">
        <v>68</v>
      </c>
      <c r="C59" s="68" t="s">
        <v>264</v>
      </c>
      <c r="D59" s="82" t="s">
        <v>429</v>
      </c>
      <c r="E59" s="45" t="s">
        <v>202</v>
      </c>
      <c r="F59" s="114" t="s">
        <v>632</v>
      </c>
      <c r="G59" s="80" t="s">
        <v>223</v>
      </c>
      <c r="H59" s="79" t="str">
        <f t="shared" si="0"/>
        <v/>
      </c>
    </row>
    <row r="60" spans="1:8" ht="30.6" x14ac:dyDescent="0.3">
      <c r="A60" s="29">
        <f>MAX($A$45:$A59)+0.01</f>
        <v>4.1599999999999966</v>
      </c>
      <c r="B60" s="67" t="s">
        <v>66</v>
      </c>
      <c r="C60" s="68" t="s">
        <v>204</v>
      </c>
      <c r="D60" s="82" t="s">
        <v>287</v>
      </c>
      <c r="E60" s="45" t="s">
        <v>194</v>
      </c>
      <c r="F60" s="114" t="s">
        <v>633</v>
      </c>
      <c r="G60" s="80" t="s">
        <v>224</v>
      </c>
      <c r="H60" s="79" t="str">
        <f t="shared" si="0"/>
        <v>O</v>
      </c>
    </row>
    <row r="61" spans="1:8" ht="51" x14ac:dyDescent="0.3">
      <c r="A61" s="29">
        <f>MAX($A$45:$A60)+0.01</f>
        <v>4.1699999999999964</v>
      </c>
      <c r="B61" s="67" t="s">
        <v>66</v>
      </c>
      <c r="C61" s="68" t="s">
        <v>289</v>
      </c>
      <c r="D61" s="82" t="s">
        <v>291</v>
      </c>
      <c r="E61" s="45" t="s">
        <v>194</v>
      </c>
      <c r="F61" s="114"/>
      <c r="G61" s="80" t="s">
        <v>211</v>
      </c>
      <c r="H61" s="79" t="str">
        <f t="shared" si="0"/>
        <v>P</v>
      </c>
    </row>
    <row r="62" spans="1:8" x14ac:dyDescent="0.3">
      <c r="E62" s="56"/>
      <c r="G62" s="72"/>
      <c r="H62" s="72"/>
    </row>
    <row r="63" spans="1:8" x14ac:dyDescent="0.3">
      <c r="B63" s="240" t="s">
        <v>205</v>
      </c>
      <c r="C63" s="241"/>
      <c r="E63" s="56"/>
      <c r="H63" s="72"/>
    </row>
    <row r="64" spans="1:8" x14ac:dyDescent="0.3">
      <c r="E64" s="56"/>
    </row>
    <row r="65" spans="1:9" ht="15.6" x14ac:dyDescent="0.3">
      <c r="A65" s="3" t="s">
        <v>190</v>
      </c>
      <c r="B65" s="4" t="s">
        <v>203</v>
      </c>
      <c r="E65" s="56"/>
    </row>
    <row r="66" spans="1:9" x14ac:dyDescent="0.3">
      <c r="E66" s="56"/>
    </row>
    <row r="67" spans="1:9" ht="87.6" customHeight="1" x14ac:dyDescent="0.3">
      <c r="B67" s="205" t="s">
        <v>440</v>
      </c>
      <c r="C67" s="205"/>
      <c r="D67" s="205"/>
      <c r="E67" s="205"/>
      <c r="F67" s="205"/>
    </row>
    <row r="68" spans="1:9" x14ac:dyDescent="0.3">
      <c r="E68" s="56"/>
    </row>
    <row r="69" spans="1:9" x14ac:dyDescent="0.3">
      <c r="B69" t="s">
        <v>326</v>
      </c>
      <c r="E69" s="45" t="s">
        <v>194</v>
      </c>
    </row>
    <row r="70" spans="1:9" x14ac:dyDescent="0.3">
      <c r="E70" s="56"/>
    </row>
    <row r="71" spans="1:9" ht="15" x14ac:dyDescent="0.3">
      <c r="B71" s="10" t="s">
        <v>121</v>
      </c>
      <c r="C71" s="10" t="s">
        <v>225</v>
      </c>
      <c r="D71" s="10" t="s">
        <v>275</v>
      </c>
      <c r="E71" s="73" t="s">
        <v>249</v>
      </c>
      <c r="F71" s="10" t="s">
        <v>193</v>
      </c>
      <c r="G71" s="74" t="s">
        <v>253</v>
      </c>
      <c r="H71" s="81" t="s">
        <v>273</v>
      </c>
    </row>
    <row r="72" spans="1:9" ht="51" x14ac:dyDescent="0.3">
      <c r="A72" s="29">
        <v>5.01</v>
      </c>
      <c r="B72" s="67" t="s">
        <v>16</v>
      </c>
      <c r="C72" s="67" t="s">
        <v>231</v>
      </c>
      <c r="D72" s="75" t="s">
        <v>299</v>
      </c>
      <c r="E72" s="45" t="s">
        <v>194</v>
      </c>
      <c r="F72" s="9"/>
      <c r="G72" s="76" t="str">
        <f t="shared" ref="G72:G111" si="1">IF(IFERROR(VLOOKUP(MID($H72,1,1),$H$45:$H$61,1,FALSE),"")&amp;IFERROR(VLOOKUP(MID($H72,2,1),$H$45:$H$61,1,FALSE),"")&amp;IFERROR(VLOOKUP(MID($H72,3,1),$H$45:$H$61,1,FALSE),"")&amp;IFERROR(VLOOKUP(MID($H72,4,1),$H$45:$H$61,1,FALSE),"")&amp;IFERROR(VLOOKUP(MID($H72,5,1),$H$45:$H$61,1,FALSE),"")&amp;IFERROR(VLOOKUP(MID($H72,6,1),$H$45:$H$61,1,FALSE),"")&amp;IFERROR(VLOOKUP(MID($H72,7,1),$H$45:$H$61,1,FALSE),"")&amp;IFERROR(VLOOKUP(MID($H72,8,1),$H$45:$H$61,1,FALSE),"")="",IF($H72="all","Likely","Unlikely"),"Likely")</f>
        <v>Likely</v>
      </c>
      <c r="H72" s="80" t="s">
        <v>254</v>
      </c>
      <c r="I72" s="71"/>
    </row>
    <row r="73" spans="1:9" ht="51" x14ac:dyDescent="0.3">
      <c r="A73" s="29">
        <f>MAX($A$72:$A72)+0.01</f>
        <v>5.0199999999999996</v>
      </c>
      <c r="B73" s="67" t="s">
        <v>16</v>
      </c>
      <c r="C73" s="67" t="s">
        <v>230</v>
      </c>
      <c r="D73" s="75" t="s">
        <v>300</v>
      </c>
      <c r="E73" s="45" t="s">
        <v>194</v>
      </c>
      <c r="F73" s="9"/>
      <c r="G73" s="76" t="str">
        <f t="shared" si="1"/>
        <v>Likely</v>
      </c>
      <c r="H73" s="80" t="s">
        <v>270</v>
      </c>
      <c r="I73" s="71"/>
    </row>
    <row r="74" spans="1:9" ht="20.399999999999999" x14ac:dyDescent="0.3">
      <c r="A74" s="29">
        <f>MAX($A$72:$A73)+0.01</f>
        <v>5.0299999999999994</v>
      </c>
      <c r="B74" s="67" t="s">
        <v>120</v>
      </c>
      <c r="C74" s="67" t="s">
        <v>226</v>
      </c>
      <c r="D74" s="75" t="s">
        <v>301</v>
      </c>
      <c r="E74" s="45" t="s">
        <v>194</v>
      </c>
      <c r="F74" s="9"/>
      <c r="G74" s="76" t="str">
        <f t="shared" si="1"/>
        <v>Likely</v>
      </c>
      <c r="H74" s="80" t="s">
        <v>271</v>
      </c>
      <c r="I74" s="71"/>
    </row>
    <row r="75" spans="1:9" ht="40.799999999999997" x14ac:dyDescent="0.3">
      <c r="A75" s="29">
        <f>MAX($A$72:$A74)+0.01</f>
        <v>5.0399999999999991</v>
      </c>
      <c r="B75" s="67" t="s">
        <v>16</v>
      </c>
      <c r="C75" s="67" t="s">
        <v>410</v>
      </c>
      <c r="D75" s="75" t="s">
        <v>411</v>
      </c>
      <c r="E75" s="45" t="s">
        <v>194</v>
      </c>
      <c r="F75" s="9"/>
      <c r="G75" s="76" t="str">
        <f t="shared" si="1"/>
        <v>Likely</v>
      </c>
      <c r="H75" s="80" t="s">
        <v>209</v>
      </c>
      <c r="I75" s="71"/>
    </row>
    <row r="76" spans="1:9" ht="51" x14ac:dyDescent="0.3">
      <c r="A76" s="29">
        <f>MAX($A$72:$A75)+0.01</f>
        <v>5.0499999999999989</v>
      </c>
      <c r="B76" s="67" t="s">
        <v>16</v>
      </c>
      <c r="C76" s="67" t="s">
        <v>227</v>
      </c>
      <c r="D76" s="75" t="s">
        <v>401</v>
      </c>
      <c r="E76" s="45" t="s">
        <v>194</v>
      </c>
      <c r="F76" s="9"/>
      <c r="G76" s="76" t="str">
        <f t="shared" si="1"/>
        <v>Likely</v>
      </c>
      <c r="H76" s="80" t="s">
        <v>250</v>
      </c>
      <c r="I76" s="71"/>
    </row>
    <row r="77" spans="1:9" ht="30.6" x14ac:dyDescent="0.3">
      <c r="A77" s="29">
        <f>MAX($A$72:$A76)+0.01</f>
        <v>5.0599999999999987</v>
      </c>
      <c r="B77" s="67" t="s">
        <v>321</v>
      </c>
      <c r="C77" s="67" t="s">
        <v>397</v>
      </c>
      <c r="D77" s="75" t="s">
        <v>400</v>
      </c>
      <c r="E77" s="45" t="s">
        <v>194</v>
      </c>
      <c r="F77" s="9"/>
      <c r="G77" s="76" t="str">
        <f t="shared" si="1"/>
        <v>Likely</v>
      </c>
      <c r="H77" s="80" t="s">
        <v>268</v>
      </c>
      <c r="I77" s="71"/>
    </row>
    <row r="78" spans="1:9" ht="30.6" x14ac:dyDescent="0.3">
      <c r="A78" s="29">
        <f>MAX($A$72:$A77)+0.01</f>
        <v>5.0699999999999985</v>
      </c>
      <c r="B78" s="67" t="s">
        <v>321</v>
      </c>
      <c r="C78" s="67" t="s">
        <v>398</v>
      </c>
      <c r="D78" s="75" t="s">
        <v>399</v>
      </c>
      <c r="E78" s="45" t="s">
        <v>194</v>
      </c>
      <c r="F78" s="9"/>
      <c r="G78" s="76" t="str">
        <f t="shared" si="1"/>
        <v>Likely</v>
      </c>
      <c r="H78" s="80" t="s">
        <v>268</v>
      </c>
      <c r="I78" s="71"/>
    </row>
    <row r="79" spans="1:9" ht="51" x14ac:dyDescent="0.3">
      <c r="A79" s="29">
        <f>MAX($A$72:$A78)+0.01</f>
        <v>5.0799999999999983</v>
      </c>
      <c r="B79" s="67" t="s">
        <v>131</v>
      </c>
      <c r="C79" s="67" t="s">
        <v>256</v>
      </c>
      <c r="D79" s="75" t="s">
        <v>302</v>
      </c>
      <c r="E79" s="45" t="s">
        <v>194</v>
      </c>
      <c r="F79" s="9"/>
      <c r="G79" s="76" t="str">
        <f t="shared" si="1"/>
        <v>Likely</v>
      </c>
      <c r="H79" s="80" t="s">
        <v>257</v>
      </c>
      <c r="I79" s="71"/>
    </row>
    <row r="80" spans="1:9" ht="40.799999999999997" x14ac:dyDescent="0.3">
      <c r="A80" s="29">
        <f>MAX($A$72:$A79)+0.01</f>
        <v>5.0899999999999981</v>
      </c>
      <c r="B80" s="67" t="s">
        <v>16</v>
      </c>
      <c r="C80" s="67" t="s">
        <v>228</v>
      </c>
      <c r="D80" s="75" t="s">
        <v>430</v>
      </c>
      <c r="E80" s="45" t="s">
        <v>194</v>
      </c>
      <c r="F80" s="9"/>
      <c r="G80" s="76" t="str">
        <f t="shared" si="1"/>
        <v>Likely</v>
      </c>
      <c r="H80" s="80" t="s">
        <v>250</v>
      </c>
      <c r="I80" s="71"/>
    </row>
    <row r="81" spans="1:9" ht="24" x14ac:dyDescent="0.3">
      <c r="A81" s="29">
        <f>MAX($A$72:$A80)+0.01</f>
        <v>5.0999999999999979</v>
      </c>
      <c r="B81" s="67" t="s">
        <v>404</v>
      </c>
      <c r="C81" s="67" t="s">
        <v>402</v>
      </c>
      <c r="D81" s="75" t="s">
        <v>403</v>
      </c>
      <c r="E81" s="45" t="s">
        <v>194</v>
      </c>
      <c r="F81" s="9"/>
      <c r="G81" s="76" t="str">
        <f t="shared" si="1"/>
        <v>Likely</v>
      </c>
      <c r="H81" s="80" t="s">
        <v>405</v>
      </c>
      <c r="I81" s="71"/>
    </row>
    <row r="82" spans="1:9" ht="40.799999999999997" x14ac:dyDescent="0.3">
      <c r="A82" s="29">
        <f>MAX($A$72:$A81)+0.01</f>
        <v>5.1099999999999977</v>
      </c>
      <c r="B82" s="67" t="s">
        <v>131</v>
      </c>
      <c r="C82" s="67" t="s">
        <v>255</v>
      </c>
      <c r="D82" s="75" t="s">
        <v>303</v>
      </c>
      <c r="E82" s="45" t="s">
        <v>194</v>
      </c>
      <c r="F82" s="9"/>
      <c r="G82" s="76" t="str">
        <f t="shared" si="1"/>
        <v>Likely</v>
      </c>
      <c r="H82" s="80" t="s">
        <v>251</v>
      </c>
      <c r="I82" s="71"/>
    </row>
    <row r="83" spans="1:9" ht="40.799999999999997" x14ac:dyDescent="0.3">
      <c r="A83" s="29">
        <f>MAX($A$72:$A82)+0.01</f>
        <v>5.1199999999999974</v>
      </c>
      <c r="B83" s="67" t="s">
        <v>16</v>
      </c>
      <c r="C83" s="67" t="s">
        <v>235</v>
      </c>
      <c r="D83" s="75" t="s">
        <v>304</v>
      </c>
      <c r="E83" s="45" t="s">
        <v>194</v>
      </c>
      <c r="F83" s="9"/>
      <c r="G83" s="76" t="str">
        <f t="shared" si="1"/>
        <v>Likely</v>
      </c>
      <c r="H83" s="80" t="s">
        <v>209</v>
      </c>
      <c r="I83" s="71"/>
    </row>
    <row r="84" spans="1:9" ht="51" x14ac:dyDescent="0.3">
      <c r="A84" s="29">
        <f>MAX($A$72:$A83)+0.01</f>
        <v>5.1299999999999972</v>
      </c>
      <c r="B84" s="67" t="s">
        <v>16</v>
      </c>
      <c r="C84" s="67" t="s">
        <v>236</v>
      </c>
      <c r="D84" s="75" t="s">
        <v>305</v>
      </c>
      <c r="E84" s="45" t="s">
        <v>194</v>
      </c>
      <c r="F84" s="9"/>
      <c r="G84" s="76" t="str">
        <f t="shared" si="1"/>
        <v>Likely</v>
      </c>
      <c r="H84" s="80" t="s">
        <v>209</v>
      </c>
      <c r="I84" s="71"/>
    </row>
    <row r="85" spans="1:9" ht="30.6" x14ac:dyDescent="0.3">
      <c r="A85" s="29">
        <f>MAX($A$72:$A84)+0.01</f>
        <v>5.139999999999997</v>
      </c>
      <c r="B85" s="67" t="s">
        <v>16</v>
      </c>
      <c r="C85" s="67" t="s">
        <v>237</v>
      </c>
      <c r="D85" s="75" t="s">
        <v>306</v>
      </c>
      <c r="E85" s="45" t="s">
        <v>91</v>
      </c>
      <c r="F85" s="9"/>
      <c r="G85" s="76" t="str">
        <f t="shared" si="1"/>
        <v>Likely</v>
      </c>
      <c r="H85" s="80" t="s">
        <v>250</v>
      </c>
      <c r="I85" s="71"/>
    </row>
    <row r="86" spans="1:9" ht="30.6" x14ac:dyDescent="0.3">
      <c r="A86" s="29">
        <f>MAX($A$72:$A85)+0.01</f>
        <v>5.1499999999999968</v>
      </c>
      <c r="B86" s="67" t="s">
        <v>16</v>
      </c>
      <c r="C86" s="67" t="s">
        <v>238</v>
      </c>
      <c r="D86" s="75" t="s">
        <v>307</v>
      </c>
      <c r="E86" s="45" t="s">
        <v>91</v>
      </c>
      <c r="F86" s="9"/>
      <c r="G86" s="76" t="str">
        <f t="shared" si="1"/>
        <v>Likely</v>
      </c>
      <c r="H86" s="80" t="s">
        <v>209</v>
      </c>
      <c r="I86" s="71"/>
    </row>
    <row r="87" spans="1:9" ht="71.400000000000006" x14ac:dyDescent="0.3">
      <c r="A87" s="29">
        <f>MAX($A$72:$A86)+0.01</f>
        <v>5.1599999999999966</v>
      </c>
      <c r="B87" s="94" t="s">
        <v>408</v>
      </c>
      <c r="C87" s="67" t="s">
        <v>409</v>
      </c>
      <c r="D87" s="75" t="s">
        <v>412</v>
      </c>
      <c r="E87" s="45" t="s">
        <v>194</v>
      </c>
      <c r="F87" s="9"/>
      <c r="G87" s="76" t="str">
        <f t="shared" si="1"/>
        <v>Likely</v>
      </c>
      <c r="H87" s="80" t="s">
        <v>415</v>
      </c>
      <c r="I87" s="71"/>
    </row>
    <row r="88" spans="1:9" ht="40.799999999999997" x14ac:dyDescent="0.3">
      <c r="A88" s="29">
        <f>MAX($A$72:$A87)+0.01</f>
        <v>5.1699999999999964</v>
      </c>
      <c r="B88" s="94" t="s">
        <v>371</v>
      </c>
      <c r="C88" s="67" t="s">
        <v>372</v>
      </c>
      <c r="D88" s="75" t="s">
        <v>373</v>
      </c>
      <c r="E88" s="45" t="s">
        <v>634</v>
      </c>
      <c r="F88" s="9"/>
      <c r="G88" s="76" t="str">
        <f t="shared" si="1"/>
        <v>Likely</v>
      </c>
      <c r="H88" s="80" t="s">
        <v>374</v>
      </c>
      <c r="I88" s="71"/>
    </row>
    <row r="89" spans="1:9" ht="40.799999999999997" x14ac:dyDescent="0.3">
      <c r="A89" s="29">
        <f>MAX($A$72:$A88)+0.01</f>
        <v>5.1799999999999962</v>
      </c>
      <c r="B89" s="67" t="s">
        <v>67</v>
      </c>
      <c r="C89" s="67" t="s">
        <v>229</v>
      </c>
      <c r="D89" s="75" t="s">
        <v>308</v>
      </c>
      <c r="E89" s="45" t="s">
        <v>194</v>
      </c>
      <c r="F89" s="9"/>
      <c r="G89" s="76" t="str">
        <f t="shared" si="1"/>
        <v>Likely</v>
      </c>
      <c r="H89" s="80" t="s">
        <v>259</v>
      </c>
      <c r="I89" s="71"/>
    </row>
    <row r="90" spans="1:9" ht="71.400000000000006" x14ac:dyDescent="0.3">
      <c r="A90" s="29">
        <f>MAX($A$72:$A89)+0.01</f>
        <v>5.1899999999999959</v>
      </c>
      <c r="B90" s="67" t="s">
        <v>131</v>
      </c>
      <c r="C90" s="67" t="s">
        <v>421</v>
      </c>
      <c r="D90" s="75" t="s">
        <v>422</v>
      </c>
      <c r="E90" s="45" t="s">
        <v>194</v>
      </c>
      <c r="F90" s="9"/>
      <c r="G90" s="76" t="str">
        <f t="shared" si="1"/>
        <v>Likely</v>
      </c>
      <c r="H90" s="80" t="s">
        <v>254</v>
      </c>
      <c r="I90" s="71"/>
    </row>
    <row r="91" spans="1:9" ht="30.6" x14ac:dyDescent="0.3">
      <c r="A91" s="29">
        <f>MAX($A$72:$A90)+0.01</f>
        <v>5.1999999999999957</v>
      </c>
      <c r="B91" s="67" t="s">
        <v>67</v>
      </c>
      <c r="C91" s="67" t="s">
        <v>232</v>
      </c>
      <c r="D91" s="75" t="s">
        <v>443</v>
      </c>
      <c r="E91" s="45" t="s">
        <v>194</v>
      </c>
      <c r="F91" s="9"/>
      <c r="G91" s="76" t="str">
        <f t="shared" si="1"/>
        <v>Likely</v>
      </c>
      <c r="H91" s="80" t="s">
        <v>212</v>
      </c>
      <c r="I91" s="71"/>
    </row>
    <row r="92" spans="1:9" ht="48" x14ac:dyDescent="0.3">
      <c r="A92" s="29">
        <f>MAX($A$72:$A91)+0.01</f>
        <v>5.2099999999999955</v>
      </c>
      <c r="B92" s="67" t="s">
        <v>126</v>
      </c>
      <c r="C92" s="67" t="s">
        <v>331</v>
      </c>
      <c r="D92" s="75" t="s">
        <v>309</v>
      </c>
      <c r="E92" s="45" t="s">
        <v>194</v>
      </c>
      <c r="F92" s="9"/>
      <c r="G92" s="76" t="str">
        <f t="shared" si="1"/>
        <v>Likely</v>
      </c>
      <c r="H92" s="80" t="s">
        <v>260</v>
      </c>
      <c r="I92" s="71"/>
    </row>
    <row r="93" spans="1:9" ht="51" x14ac:dyDescent="0.3">
      <c r="A93" s="29">
        <f>MAX($A$72:$A92)+0.01</f>
        <v>5.2199999999999953</v>
      </c>
      <c r="B93" s="67" t="s">
        <v>16</v>
      </c>
      <c r="C93" s="67" t="s">
        <v>330</v>
      </c>
      <c r="D93" s="75" t="s">
        <v>333</v>
      </c>
      <c r="E93" s="45" t="s">
        <v>194</v>
      </c>
      <c r="F93" s="9"/>
      <c r="G93" s="76" t="str">
        <f t="shared" si="1"/>
        <v>Likely</v>
      </c>
      <c r="H93" s="80" t="s">
        <v>209</v>
      </c>
      <c r="I93" s="71"/>
    </row>
    <row r="94" spans="1:9" ht="40.799999999999997" x14ac:dyDescent="0.3">
      <c r="A94" s="29">
        <f>MAX($A$72:$A93)+0.01</f>
        <v>5.2299999999999951</v>
      </c>
      <c r="B94" s="67" t="s">
        <v>19</v>
      </c>
      <c r="C94" s="67" t="s">
        <v>332</v>
      </c>
      <c r="D94" s="75" t="s">
        <v>334</v>
      </c>
      <c r="E94" s="45" t="s">
        <v>194</v>
      </c>
      <c r="F94" s="9"/>
      <c r="G94" s="76" t="str">
        <f t="shared" si="1"/>
        <v>Likely</v>
      </c>
      <c r="H94" s="80" t="s">
        <v>260</v>
      </c>
      <c r="I94" s="71"/>
    </row>
    <row r="95" spans="1:9" ht="40.799999999999997" x14ac:dyDescent="0.3">
      <c r="A95" s="29">
        <f>MAX($A$72:$A94)+0.01</f>
        <v>5.2399999999999949</v>
      </c>
      <c r="B95" s="67" t="s">
        <v>240</v>
      </c>
      <c r="C95" s="67" t="s">
        <v>394</v>
      </c>
      <c r="D95" s="75" t="s">
        <v>395</v>
      </c>
      <c r="E95" s="45" t="s">
        <v>634</v>
      </c>
      <c r="F95" s="9"/>
      <c r="G95" s="76" t="str">
        <f t="shared" si="1"/>
        <v>Likely</v>
      </c>
      <c r="H95" s="80" t="s">
        <v>260</v>
      </c>
      <c r="I95" s="71"/>
    </row>
    <row r="96" spans="1:9" ht="24" x14ac:dyDescent="0.3">
      <c r="A96" s="29">
        <f>MAX($A$72:$A95)+0.01</f>
        <v>5.2499999999999947</v>
      </c>
      <c r="B96" s="67" t="s">
        <v>240</v>
      </c>
      <c r="C96" s="67" t="s">
        <v>234</v>
      </c>
      <c r="D96" s="75" t="s">
        <v>310</v>
      </c>
      <c r="E96" s="45" t="s">
        <v>208</v>
      </c>
      <c r="F96" s="9"/>
      <c r="G96" s="76" t="str">
        <f t="shared" si="1"/>
        <v>Likely</v>
      </c>
      <c r="H96" s="80" t="s">
        <v>260</v>
      </c>
      <c r="I96" s="71"/>
    </row>
    <row r="97" spans="1:9" ht="24" x14ac:dyDescent="0.3">
      <c r="A97" s="29">
        <f>MAX($A$72:$A96)+0.01</f>
        <v>5.2599999999999945</v>
      </c>
      <c r="B97" s="67" t="s">
        <v>240</v>
      </c>
      <c r="C97" s="67" t="s">
        <v>233</v>
      </c>
      <c r="D97" s="75" t="s">
        <v>311</v>
      </c>
      <c r="E97" s="45" t="s">
        <v>194</v>
      </c>
      <c r="F97" s="9"/>
      <c r="G97" s="76" t="str">
        <f t="shared" si="1"/>
        <v>Likely</v>
      </c>
      <c r="H97" s="80" t="s">
        <v>260</v>
      </c>
      <c r="I97" s="71"/>
    </row>
    <row r="98" spans="1:9" ht="81.599999999999994" x14ac:dyDescent="0.3">
      <c r="A98" s="29">
        <f>MAX($A$72:$A97)+0.01</f>
        <v>5.2699999999999942</v>
      </c>
      <c r="B98" s="67" t="s">
        <v>321</v>
      </c>
      <c r="C98" s="67" t="s">
        <v>293</v>
      </c>
      <c r="D98" s="75" t="s">
        <v>396</v>
      </c>
      <c r="E98" s="45" t="s">
        <v>194</v>
      </c>
      <c r="F98" s="9"/>
      <c r="G98" s="76" t="str">
        <f t="shared" si="1"/>
        <v>Likely</v>
      </c>
      <c r="H98" s="80" t="s">
        <v>260</v>
      </c>
      <c r="I98" s="71"/>
    </row>
    <row r="99" spans="1:9" ht="40.799999999999997" x14ac:dyDescent="0.3">
      <c r="A99" s="29">
        <f>MAX($A$72:$A98)+0.01</f>
        <v>5.279999999999994</v>
      </c>
      <c r="B99" s="67" t="s">
        <v>239</v>
      </c>
      <c r="C99" s="67" t="s">
        <v>258</v>
      </c>
      <c r="D99" s="75" t="s">
        <v>312</v>
      </c>
      <c r="E99" s="45" t="s">
        <v>91</v>
      </c>
      <c r="F99" s="9"/>
      <c r="G99" s="76" t="str">
        <f t="shared" si="1"/>
        <v>Likely</v>
      </c>
      <c r="H99" s="80" t="s">
        <v>210</v>
      </c>
      <c r="I99" s="71"/>
    </row>
    <row r="100" spans="1:9" ht="36" x14ac:dyDescent="0.3">
      <c r="A100" s="29">
        <f>MAX($A$72:$A99)+0.01</f>
        <v>5.2899999999999938</v>
      </c>
      <c r="B100" s="67" t="s">
        <v>19</v>
      </c>
      <c r="C100" s="67" t="s">
        <v>241</v>
      </c>
      <c r="D100" s="75" t="s">
        <v>313</v>
      </c>
      <c r="E100" s="45" t="s">
        <v>91</v>
      </c>
      <c r="F100" s="9"/>
      <c r="G100" s="76" t="str">
        <f t="shared" si="1"/>
        <v>Likely</v>
      </c>
      <c r="H100" s="80" t="s">
        <v>263</v>
      </c>
      <c r="I100" s="71"/>
    </row>
    <row r="101" spans="1:9" ht="36" x14ac:dyDescent="0.3">
      <c r="A101" s="29">
        <f>MAX($A$72:$A100)+0.01</f>
        <v>5.2999999999999936</v>
      </c>
      <c r="B101" s="94" t="s">
        <v>19</v>
      </c>
      <c r="C101" s="67" t="s">
        <v>369</v>
      </c>
      <c r="D101" s="75" t="s">
        <v>370</v>
      </c>
      <c r="E101" s="45" t="s">
        <v>91</v>
      </c>
      <c r="F101" s="9"/>
      <c r="G101" s="76" t="str">
        <f t="shared" si="1"/>
        <v>Likely</v>
      </c>
      <c r="H101" s="80" t="s">
        <v>375</v>
      </c>
      <c r="I101" s="71"/>
    </row>
    <row r="102" spans="1:9" ht="36" x14ac:dyDescent="0.3">
      <c r="A102" s="29">
        <f>MAX($A$72:$A101)+0.01</f>
        <v>5.3099999999999934</v>
      </c>
      <c r="B102" s="67" t="s">
        <v>19</v>
      </c>
      <c r="C102" s="67" t="s">
        <v>243</v>
      </c>
      <c r="D102" s="75" t="s">
        <v>314</v>
      </c>
      <c r="E102" s="45" t="s">
        <v>91</v>
      </c>
      <c r="F102" s="9"/>
      <c r="G102" s="76" t="str">
        <f t="shared" si="1"/>
        <v>Likely</v>
      </c>
      <c r="H102" s="80" t="s">
        <v>292</v>
      </c>
      <c r="I102" s="71"/>
    </row>
    <row r="103" spans="1:9" ht="40.799999999999997" x14ac:dyDescent="0.3">
      <c r="A103" s="29">
        <f>MAX($A$72:$A102)+0.01</f>
        <v>5.3199999999999932</v>
      </c>
      <c r="B103" s="67" t="s">
        <v>19</v>
      </c>
      <c r="C103" s="67" t="s">
        <v>242</v>
      </c>
      <c r="D103" s="75" t="s">
        <v>315</v>
      </c>
      <c r="E103" s="45" t="s">
        <v>91</v>
      </c>
      <c r="F103" s="9"/>
      <c r="G103" s="76" t="str">
        <f t="shared" si="1"/>
        <v>Likely</v>
      </c>
      <c r="H103" s="80" t="s">
        <v>262</v>
      </c>
      <c r="I103" s="71"/>
    </row>
    <row r="104" spans="1:9" ht="30.6" x14ac:dyDescent="0.3">
      <c r="A104" s="29">
        <f>MAX($A$72:$A103)+0.01</f>
        <v>5.329999999999993</v>
      </c>
      <c r="B104" s="67" t="s">
        <v>320</v>
      </c>
      <c r="C104" s="67" t="s">
        <v>266</v>
      </c>
      <c r="D104" s="75" t="s">
        <v>318</v>
      </c>
      <c r="E104" s="45" t="s">
        <v>194</v>
      </c>
      <c r="F104" s="9"/>
      <c r="G104" s="76" t="str">
        <f t="shared" si="1"/>
        <v>Likely</v>
      </c>
      <c r="H104" s="80" t="s">
        <v>267</v>
      </c>
      <c r="I104" s="71"/>
    </row>
    <row r="105" spans="1:9" ht="24" x14ac:dyDescent="0.3">
      <c r="A105" s="29">
        <f>MAX($A$72:$A104)+0.01</f>
        <v>5.3399999999999928</v>
      </c>
      <c r="B105" s="67" t="s">
        <v>240</v>
      </c>
      <c r="C105" s="67" t="s">
        <v>244</v>
      </c>
      <c r="D105" s="75" t="s">
        <v>317</v>
      </c>
      <c r="E105" s="45" t="s">
        <v>208</v>
      </c>
      <c r="F105" s="9"/>
      <c r="G105" s="76" t="str">
        <f t="shared" si="1"/>
        <v>Likely</v>
      </c>
      <c r="H105" s="80" t="s">
        <v>261</v>
      </c>
      <c r="I105" s="71"/>
    </row>
    <row r="106" spans="1:9" ht="48" x14ac:dyDescent="0.3">
      <c r="A106" s="29">
        <f>MAX($A$72:$A105)+0.01</f>
        <v>5.3499999999999925</v>
      </c>
      <c r="B106" s="67" t="s">
        <v>19</v>
      </c>
      <c r="C106" s="67" t="s">
        <v>434</v>
      </c>
      <c r="D106" s="75" t="s">
        <v>407</v>
      </c>
      <c r="E106" s="45" t="s">
        <v>91</v>
      </c>
      <c r="F106" s="9"/>
      <c r="G106" s="76" t="str">
        <f t="shared" si="1"/>
        <v>Likely</v>
      </c>
      <c r="H106" s="80" t="s">
        <v>265</v>
      </c>
      <c r="I106" s="71"/>
    </row>
    <row r="107" spans="1:9" ht="36" x14ac:dyDescent="0.3">
      <c r="A107" s="29">
        <f>MAX($A$72:$A106)+0.01</f>
        <v>5.3599999999999923</v>
      </c>
      <c r="B107" s="67" t="s">
        <v>246</v>
      </c>
      <c r="C107" s="67" t="s">
        <v>247</v>
      </c>
      <c r="D107" s="75" t="s">
        <v>431</v>
      </c>
      <c r="E107" s="45" t="s">
        <v>194</v>
      </c>
      <c r="F107" s="9"/>
      <c r="G107" s="76" t="str">
        <f t="shared" si="1"/>
        <v>Likely</v>
      </c>
      <c r="H107" s="80" t="s">
        <v>272</v>
      </c>
      <c r="I107" s="71"/>
    </row>
    <row r="108" spans="1:9" ht="51" x14ac:dyDescent="0.3">
      <c r="A108" s="29">
        <f>MAX($A$72:$A107)+0.01</f>
        <v>5.3699999999999921</v>
      </c>
      <c r="B108" s="67" t="s">
        <v>19</v>
      </c>
      <c r="C108" s="67" t="s">
        <v>296</v>
      </c>
      <c r="D108" s="75" t="s">
        <v>432</v>
      </c>
      <c r="E108" s="45" t="s">
        <v>31</v>
      </c>
      <c r="F108" s="9"/>
      <c r="G108" s="76" t="str">
        <f t="shared" si="1"/>
        <v>Unlikely</v>
      </c>
      <c r="H108" s="80" t="s">
        <v>219</v>
      </c>
      <c r="I108" s="71"/>
    </row>
    <row r="109" spans="1:9" ht="40.799999999999997" x14ac:dyDescent="0.3">
      <c r="A109" s="29">
        <f>MAX($A$72:$A108)+0.01</f>
        <v>5.3799999999999919</v>
      </c>
      <c r="B109" s="67" t="s">
        <v>322</v>
      </c>
      <c r="C109" s="67" t="s">
        <v>295</v>
      </c>
      <c r="D109" s="75" t="s">
        <v>316</v>
      </c>
      <c r="E109" s="45" t="s">
        <v>194</v>
      </c>
      <c r="F109" s="9"/>
      <c r="G109" s="76" t="str">
        <f t="shared" si="1"/>
        <v>Likely</v>
      </c>
      <c r="H109" s="80" t="s">
        <v>294</v>
      </c>
      <c r="I109" s="71"/>
    </row>
    <row r="110" spans="1:9" ht="61.2" x14ac:dyDescent="0.3">
      <c r="A110" s="29">
        <f>MAX($A$72:$A109)+0.01</f>
        <v>5.3899999999999917</v>
      </c>
      <c r="B110" s="67" t="s">
        <v>66</v>
      </c>
      <c r="C110" s="67" t="s">
        <v>245</v>
      </c>
      <c r="D110" s="75" t="s">
        <v>319</v>
      </c>
      <c r="E110" s="45" t="s">
        <v>194</v>
      </c>
      <c r="F110" s="9"/>
      <c r="G110" s="76" t="str">
        <f t="shared" si="1"/>
        <v>Likely</v>
      </c>
      <c r="H110" s="80" t="s">
        <v>269</v>
      </c>
      <c r="I110" s="71"/>
    </row>
    <row r="111" spans="1:9" ht="24" x14ac:dyDescent="0.3">
      <c r="A111" s="29">
        <f>MAX($A$72:$A110)+0.01</f>
        <v>5.3999999999999915</v>
      </c>
      <c r="B111" s="67" t="s">
        <v>19</v>
      </c>
      <c r="C111" s="67" t="s">
        <v>346</v>
      </c>
      <c r="D111" s="75" t="s">
        <v>347</v>
      </c>
      <c r="E111" s="45" t="s">
        <v>194</v>
      </c>
      <c r="F111" s="9"/>
      <c r="G111" s="76" t="str">
        <f t="shared" si="1"/>
        <v>Likely</v>
      </c>
      <c r="H111" s="80" t="s">
        <v>260</v>
      </c>
      <c r="I111" s="71"/>
    </row>
    <row r="112" spans="1:9" x14ac:dyDescent="0.3">
      <c r="E112" s="56"/>
    </row>
    <row r="113" spans="1:14" ht="42.6" customHeight="1" x14ac:dyDescent="0.3">
      <c r="B113" s="227" t="s">
        <v>376</v>
      </c>
      <c r="C113" s="227"/>
      <c r="D113" s="227"/>
      <c r="E113" s="227"/>
      <c r="F113" s="227"/>
      <c r="G113" s="227"/>
      <c r="I113" s="2"/>
      <c r="J113" s="78"/>
      <c r="K113" s="77"/>
      <c r="L113" s="77"/>
      <c r="M113" s="77"/>
      <c r="N113" s="77"/>
    </row>
    <row r="114" spans="1:14" ht="18" customHeight="1" x14ac:dyDescent="0.3">
      <c r="B114" s="227" t="s">
        <v>377</v>
      </c>
      <c r="C114" s="227"/>
      <c r="D114" s="227"/>
      <c r="E114" s="227"/>
      <c r="F114" s="227"/>
      <c r="G114" s="227"/>
      <c r="I114" s="2"/>
      <c r="J114" s="78"/>
      <c r="K114" s="77"/>
      <c r="L114" s="77"/>
      <c r="M114" s="77"/>
      <c r="N114" s="77"/>
    </row>
    <row r="115" spans="1:14" x14ac:dyDescent="0.3">
      <c r="B115" s="39"/>
      <c r="C115" s="39"/>
      <c r="E115" s="56"/>
      <c r="I115" s="2"/>
      <c r="J115" s="78"/>
      <c r="K115" s="77"/>
      <c r="L115" s="77"/>
      <c r="M115" s="77"/>
      <c r="N115" s="77"/>
    </row>
    <row r="117" spans="1:14" ht="27.6" customHeight="1" x14ac:dyDescent="0.3">
      <c r="A117" s="221" t="s">
        <v>441</v>
      </c>
      <c r="B117" s="221"/>
      <c r="C117" s="221"/>
      <c r="D117" s="221"/>
      <c r="E117" s="221"/>
      <c r="F117" s="221"/>
      <c r="G117" s="91"/>
      <c r="H117" s="91"/>
    </row>
    <row r="118" spans="1:14" ht="51" customHeight="1" x14ac:dyDescent="0.3">
      <c r="A118" s="221" t="s">
        <v>435</v>
      </c>
      <c r="B118" s="221"/>
      <c r="C118" s="221"/>
      <c r="D118" s="221"/>
      <c r="E118" s="221"/>
      <c r="F118" s="221"/>
      <c r="G118" s="91"/>
      <c r="H118" s="91"/>
    </row>
  </sheetData>
  <sheetProtection sheet="1" objects="1" scenarios="1" formatCells="0" formatColumns="0" formatRows="0" insertColumns="0" insertRows="0" deleteRows="0" autoFilter="0"/>
  <protectedRanges>
    <protectedRange sqref="G71" name="Bereich2"/>
    <protectedRange sqref="F7 D7:D8 E45:F61 E72:F111 E69" name="Bereich1"/>
  </protectedRanges>
  <autoFilter ref="G71:G111" xr:uid="{00000000-0009-0000-0000-000003000000}"/>
  <mergeCells count="50">
    <mergeCell ref="B63:C63"/>
    <mergeCell ref="B113:G113"/>
    <mergeCell ref="A118:F118"/>
    <mergeCell ref="A117:F117"/>
    <mergeCell ref="B32:C32"/>
    <mergeCell ref="D32:H32"/>
    <mergeCell ref="D34:H34"/>
    <mergeCell ref="B114:G114"/>
    <mergeCell ref="F36:H38"/>
    <mergeCell ref="B42:F42"/>
    <mergeCell ref="B67:F67"/>
    <mergeCell ref="B22:C22"/>
    <mergeCell ref="D22:H22"/>
    <mergeCell ref="B31:C31"/>
    <mergeCell ref="D31:H31"/>
    <mergeCell ref="B26:C26"/>
    <mergeCell ref="D26:H26"/>
    <mergeCell ref="B27:C27"/>
    <mergeCell ref="D27:H27"/>
    <mergeCell ref="B28:C28"/>
    <mergeCell ref="B29:C29"/>
    <mergeCell ref="B30:C30"/>
    <mergeCell ref="D28:H28"/>
    <mergeCell ref="D29:H29"/>
    <mergeCell ref="D30:H30"/>
    <mergeCell ref="B23:C23"/>
    <mergeCell ref="D23:H23"/>
    <mergeCell ref="B25:C25"/>
    <mergeCell ref="D25:H25"/>
    <mergeCell ref="B24:C24"/>
    <mergeCell ref="D24:H24"/>
    <mergeCell ref="A1:D1"/>
    <mergeCell ref="D4:F4"/>
    <mergeCell ref="D5:F5"/>
    <mergeCell ref="D6:F6"/>
    <mergeCell ref="D10:F10"/>
    <mergeCell ref="D8:F8"/>
    <mergeCell ref="A2:E2"/>
    <mergeCell ref="D12:F12"/>
    <mergeCell ref="D13:F13"/>
    <mergeCell ref="D20:H20"/>
    <mergeCell ref="B21:C21"/>
    <mergeCell ref="D21:H21"/>
    <mergeCell ref="B20:C20"/>
    <mergeCell ref="B19:C19"/>
    <mergeCell ref="D19:H19"/>
    <mergeCell ref="B17:C17"/>
    <mergeCell ref="D17:H17"/>
    <mergeCell ref="B18:C18"/>
    <mergeCell ref="D18:H18"/>
  </mergeCells>
  <conditionalFormatting sqref="B72:G111">
    <cfRule type="expression" dxfId="18" priority="1">
      <formula>IF($G72="Unlikely",IF($E$69="Yes",TRUE,FALSE),FALSE)</formula>
    </cfRule>
  </conditionalFormatting>
  <conditionalFormatting sqref="E45:E61">
    <cfRule type="cellIs" dxfId="17" priority="6" operator="equal">
      <formula>"No"</formula>
    </cfRule>
    <cfRule type="cellIs" dxfId="16" priority="7" operator="equal">
      <formula>"Yes"</formula>
    </cfRule>
  </conditionalFormatting>
  <conditionalFormatting sqref="E72:E111">
    <cfRule type="cellIs" dxfId="15" priority="2" operator="equal">
      <formula>"Partly"</formula>
    </cfRule>
    <cfRule type="cellIs" dxfId="14" priority="3" operator="equal">
      <formula>"Not yet"</formula>
    </cfRule>
    <cfRule type="cellIs" dxfId="13" priority="4" operator="equal">
      <formula>"No"</formula>
    </cfRule>
    <cfRule type="cellIs" dxfId="12" priority="5" operator="equal">
      <formula>"Yes"</formula>
    </cfRule>
  </conditionalFormatting>
  <dataValidations disablePrompts="1" count="3">
    <dataValidation type="list" allowBlank="1" showInputMessage="1" showErrorMessage="1" sqref="E45:E61" xr:uid="{00000000-0002-0000-0300-000000000000}">
      <formula1>"(select),Yes,No"</formula1>
    </dataValidation>
    <dataValidation type="list" allowBlank="1" showInputMessage="1" showErrorMessage="1" sqref="E69" xr:uid="{00000000-0002-0000-0300-000001000000}">
      <formula1>"Yes,No"</formula1>
    </dataValidation>
    <dataValidation type="list" allowBlank="1" showInputMessage="1" showErrorMessage="1" sqref="E72:E111" xr:uid="{00000000-0002-0000-0300-000002000000}">
      <formula1>"(select),Yes,Partly,Not yet,No,N/A"</formula1>
    </dataValidation>
  </dataValidations>
  <pageMargins left="0.7" right="0.7" top="0.78740157499999996" bottom="0.78740157499999996" header="0.3" footer="0.3"/>
  <pageSetup paperSize="8" scale="58"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DF671A"/>
    <pageSetUpPr fitToPage="1"/>
  </sheetPr>
  <dimension ref="A1:R28"/>
  <sheetViews>
    <sheetView showGridLines="0" workbookViewId="0">
      <selection sqref="A1:E1"/>
    </sheetView>
  </sheetViews>
  <sheetFormatPr baseColWidth="10" defaultColWidth="11.44140625" defaultRowHeight="14.4" x14ac:dyDescent="0.3"/>
  <cols>
    <col min="1" max="1" width="4.6640625" customWidth="1"/>
    <col min="2" max="2" width="15.5546875" customWidth="1"/>
    <col min="3" max="3" width="18.5546875" customWidth="1"/>
    <col min="4" max="4" width="32.33203125" customWidth="1"/>
    <col min="5" max="5" width="13" customWidth="1"/>
    <col min="6" max="6" width="16.33203125" customWidth="1"/>
    <col min="7" max="7" width="19.33203125" customWidth="1"/>
    <col min="8" max="8" width="29.33203125" customWidth="1"/>
    <col min="9" max="9" width="11.109375" customWidth="1"/>
    <col min="10" max="10" width="10.5546875" customWidth="1"/>
    <col min="11" max="11" width="11.44140625" customWidth="1"/>
    <col min="12" max="12" width="9.88671875" customWidth="1"/>
    <col min="13" max="13" width="10.88671875" customWidth="1"/>
    <col min="14" max="14" width="12.33203125" customWidth="1"/>
    <col min="15" max="15" width="14.88671875" customWidth="1"/>
  </cols>
  <sheetData>
    <row r="1" spans="1:18" ht="23.4" x14ac:dyDescent="0.45">
      <c r="A1" s="194" t="s">
        <v>335</v>
      </c>
      <c r="B1" s="194"/>
      <c r="C1" s="194"/>
      <c r="D1" s="194"/>
      <c r="E1" s="194"/>
    </row>
    <row r="3" spans="1:18" x14ac:dyDescent="0.3">
      <c r="A3" s="1" t="s">
        <v>1</v>
      </c>
      <c r="B3" s="2"/>
      <c r="C3" s="200" t="s">
        <v>77</v>
      </c>
      <c r="D3" s="200"/>
      <c r="F3" s="20" t="s">
        <v>345</v>
      </c>
      <c r="G3" s="115">
        <v>45261</v>
      </c>
      <c r="J3" t="s">
        <v>344</v>
      </c>
      <c r="L3" s="199" t="s">
        <v>638</v>
      </c>
      <c r="M3" s="200"/>
      <c r="N3" s="200"/>
      <c r="O3" s="200"/>
    </row>
    <row r="5" spans="1:18" x14ac:dyDescent="0.3">
      <c r="A5" s="61" t="s">
        <v>336</v>
      </c>
      <c r="B5" s="10" t="s">
        <v>947</v>
      </c>
      <c r="C5" s="10" t="s">
        <v>948</v>
      </c>
      <c r="D5" s="10" t="s">
        <v>340</v>
      </c>
      <c r="E5" s="10" t="s">
        <v>337</v>
      </c>
      <c r="F5" s="10" t="s">
        <v>339</v>
      </c>
      <c r="G5" s="10" t="s">
        <v>949</v>
      </c>
      <c r="H5" s="10" t="s">
        <v>698</v>
      </c>
      <c r="I5" s="10" t="s">
        <v>943</v>
      </c>
      <c r="J5" s="10" t="s">
        <v>352</v>
      </c>
      <c r="K5" s="10" t="s">
        <v>122</v>
      </c>
      <c r="L5" s="10" t="s">
        <v>338</v>
      </c>
      <c r="M5" s="10" t="s">
        <v>342</v>
      </c>
      <c r="N5" s="10" t="s">
        <v>361</v>
      </c>
      <c r="O5" s="10" t="s">
        <v>343</v>
      </c>
      <c r="Q5" s="162" t="s">
        <v>938</v>
      </c>
      <c r="R5" s="20"/>
    </row>
    <row r="6" spans="1:18" ht="27.6" x14ac:dyDescent="0.3">
      <c r="A6" s="88">
        <v>1</v>
      </c>
      <c r="B6" s="8" t="s">
        <v>348</v>
      </c>
      <c r="C6" s="8" t="s">
        <v>251</v>
      </c>
      <c r="D6" s="9" t="s">
        <v>349</v>
      </c>
      <c r="E6" s="9" t="s">
        <v>350</v>
      </c>
      <c r="F6" s="9" t="s">
        <v>351</v>
      </c>
      <c r="G6" s="9" t="s">
        <v>697</v>
      </c>
      <c r="H6" s="9" t="s">
        <v>695</v>
      </c>
      <c r="I6" s="9" t="s">
        <v>935</v>
      </c>
      <c r="J6" s="9" t="s">
        <v>341</v>
      </c>
      <c r="K6" s="9" t="s">
        <v>91</v>
      </c>
      <c r="L6" s="9" t="s">
        <v>91</v>
      </c>
      <c r="M6" s="9" t="s">
        <v>94</v>
      </c>
      <c r="N6" s="89">
        <v>45127</v>
      </c>
      <c r="O6" s="115">
        <v>45424</v>
      </c>
      <c r="Q6" s="161" t="s">
        <v>31</v>
      </c>
    </row>
    <row r="7" spans="1:18" ht="41.4" x14ac:dyDescent="0.3">
      <c r="A7" s="88">
        <v>2</v>
      </c>
      <c r="B7" s="8" t="s">
        <v>934</v>
      </c>
      <c r="C7" s="8" t="s">
        <v>444</v>
      </c>
      <c r="D7" s="9" t="s">
        <v>635</v>
      </c>
      <c r="E7" s="9" t="s">
        <v>78</v>
      </c>
      <c r="F7" s="9" t="s">
        <v>636</v>
      </c>
      <c r="G7" s="9" t="s">
        <v>697</v>
      </c>
      <c r="H7" s="9" t="s">
        <v>696</v>
      </c>
      <c r="I7" s="9" t="s">
        <v>939</v>
      </c>
      <c r="J7" s="9" t="s">
        <v>341</v>
      </c>
      <c r="K7" s="9" t="s">
        <v>341</v>
      </c>
      <c r="L7" s="9" t="s">
        <v>341</v>
      </c>
      <c r="M7" s="9" t="s">
        <v>95</v>
      </c>
      <c r="N7" s="89" t="s">
        <v>637</v>
      </c>
      <c r="O7" s="115">
        <v>46357</v>
      </c>
      <c r="Q7" s="161" t="s">
        <v>91</v>
      </c>
    </row>
    <row r="8" spans="1:18" x14ac:dyDescent="0.3">
      <c r="A8" s="88"/>
      <c r="B8" s="8"/>
      <c r="C8" s="8"/>
      <c r="D8" s="9"/>
      <c r="E8" s="9"/>
      <c r="F8" s="9"/>
      <c r="G8" s="9"/>
      <c r="H8" s="9"/>
      <c r="I8" s="9" t="s">
        <v>31</v>
      </c>
      <c r="J8" s="9" t="s">
        <v>31</v>
      </c>
      <c r="K8" s="9" t="s">
        <v>31</v>
      </c>
      <c r="L8" s="9" t="s">
        <v>31</v>
      </c>
      <c r="M8" s="9" t="s">
        <v>31</v>
      </c>
      <c r="N8" s="89"/>
      <c r="O8" s="115"/>
      <c r="Q8" s="161" t="s">
        <v>942</v>
      </c>
    </row>
    <row r="9" spans="1:18" x14ac:dyDescent="0.3">
      <c r="A9" s="88"/>
      <c r="B9" s="8"/>
      <c r="C9" s="8"/>
      <c r="D9" s="9"/>
      <c r="E9" s="9"/>
      <c r="F9" s="9"/>
      <c r="G9" s="9"/>
      <c r="H9" s="9"/>
      <c r="I9" s="9" t="s">
        <v>31</v>
      </c>
      <c r="J9" s="9" t="s">
        <v>31</v>
      </c>
      <c r="K9" s="9" t="s">
        <v>31</v>
      </c>
      <c r="L9" s="9" t="s">
        <v>31</v>
      </c>
      <c r="M9" s="9" t="s">
        <v>31</v>
      </c>
      <c r="N9" s="89"/>
      <c r="O9" s="115"/>
      <c r="Q9" s="161" t="s">
        <v>939</v>
      </c>
    </row>
    <row r="10" spans="1:18" x14ac:dyDescent="0.3">
      <c r="A10" s="88"/>
      <c r="B10" s="8"/>
      <c r="C10" s="8"/>
      <c r="D10" s="9"/>
      <c r="E10" s="9"/>
      <c r="F10" s="9"/>
      <c r="G10" s="9"/>
      <c r="H10" s="9"/>
      <c r="I10" s="9" t="s">
        <v>31</v>
      </c>
      <c r="J10" s="9" t="s">
        <v>31</v>
      </c>
      <c r="K10" s="9" t="s">
        <v>31</v>
      </c>
      <c r="L10" s="9" t="s">
        <v>31</v>
      </c>
      <c r="M10" s="9" t="s">
        <v>31</v>
      </c>
      <c r="N10" s="89"/>
      <c r="O10" s="115"/>
      <c r="Q10" s="161" t="s">
        <v>1353</v>
      </c>
    </row>
    <row r="11" spans="1:18" x14ac:dyDescent="0.3">
      <c r="A11" s="88"/>
      <c r="B11" s="8"/>
      <c r="C11" s="8"/>
      <c r="D11" s="9"/>
      <c r="E11" s="9"/>
      <c r="F11" s="9"/>
      <c r="G11" s="9"/>
      <c r="H11" s="9"/>
      <c r="I11" s="9" t="s">
        <v>31</v>
      </c>
      <c r="J11" s="9" t="s">
        <v>31</v>
      </c>
      <c r="K11" s="9" t="s">
        <v>31</v>
      </c>
      <c r="L11" s="9" t="s">
        <v>31</v>
      </c>
      <c r="M11" s="9" t="s">
        <v>31</v>
      </c>
      <c r="N11" s="89"/>
      <c r="O11" s="115"/>
      <c r="Q11" s="161" t="s">
        <v>940</v>
      </c>
    </row>
    <row r="12" spans="1:18" x14ac:dyDescent="0.3">
      <c r="A12" s="88"/>
      <c r="B12" s="8"/>
      <c r="C12" s="8"/>
      <c r="D12" s="9"/>
      <c r="E12" s="9"/>
      <c r="F12" s="9"/>
      <c r="G12" s="9"/>
      <c r="H12" s="9"/>
      <c r="I12" s="9" t="s">
        <v>31</v>
      </c>
      <c r="J12" s="9" t="s">
        <v>31</v>
      </c>
      <c r="K12" s="9" t="s">
        <v>31</v>
      </c>
      <c r="L12" s="9" t="s">
        <v>31</v>
      </c>
      <c r="M12" s="9" t="s">
        <v>31</v>
      </c>
      <c r="N12" s="89"/>
      <c r="O12" s="115"/>
      <c r="Q12" s="161" t="s">
        <v>941</v>
      </c>
    </row>
    <row r="13" spans="1:18" x14ac:dyDescent="0.3">
      <c r="A13" s="88"/>
      <c r="B13" s="8"/>
      <c r="C13" s="8"/>
      <c r="D13" s="9"/>
      <c r="E13" s="9"/>
      <c r="F13" s="9"/>
      <c r="G13" s="9"/>
      <c r="H13" s="9"/>
      <c r="I13" s="9" t="s">
        <v>31</v>
      </c>
      <c r="J13" s="9" t="s">
        <v>31</v>
      </c>
      <c r="K13" s="9" t="s">
        <v>31</v>
      </c>
      <c r="L13" s="9" t="s">
        <v>31</v>
      </c>
      <c r="M13" s="9" t="s">
        <v>31</v>
      </c>
      <c r="N13" s="89"/>
      <c r="O13" s="115"/>
      <c r="Q13" s="161" t="s">
        <v>935</v>
      </c>
    </row>
    <row r="14" spans="1:18" x14ac:dyDescent="0.3">
      <c r="A14" s="88"/>
      <c r="B14" s="8"/>
      <c r="C14" s="8"/>
      <c r="D14" s="9"/>
      <c r="E14" s="9"/>
      <c r="F14" s="9"/>
      <c r="G14" s="9"/>
      <c r="H14" s="9"/>
      <c r="I14" s="9" t="s">
        <v>31</v>
      </c>
      <c r="J14" s="9" t="s">
        <v>31</v>
      </c>
      <c r="K14" s="9" t="s">
        <v>31</v>
      </c>
      <c r="L14" s="9" t="s">
        <v>31</v>
      </c>
      <c r="M14" s="9" t="s">
        <v>31</v>
      </c>
      <c r="N14" s="89"/>
      <c r="O14" s="115"/>
      <c r="Q14" s="161" t="s">
        <v>937</v>
      </c>
    </row>
    <row r="15" spans="1:18" x14ac:dyDescent="0.3">
      <c r="A15" s="88"/>
      <c r="B15" s="8"/>
      <c r="C15" s="8"/>
      <c r="D15" s="9"/>
      <c r="E15" s="9"/>
      <c r="F15" s="9"/>
      <c r="G15" s="9"/>
      <c r="H15" s="9"/>
      <c r="I15" s="9" t="s">
        <v>31</v>
      </c>
      <c r="J15" s="9" t="s">
        <v>31</v>
      </c>
      <c r="K15" s="9" t="s">
        <v>31</v>
      </c>
      <c r="L15" s="9" t="s">
        <v>31</v>
      </c>
      <c r="M15" s="9" t="s">
        <v>31</v>
      </c>
      <c r="N15" s="89"/>
      <c r="O15" s="115"/>
      <c r="Q15" s="161" t="s">
        <v>936</v>
      </c>
    </row>
    <row r="16" spans="1:18" x14ac:dyDescent="0.3">
      <c r="A16" s="88"/>
      <c r="B16" s="8"/>
      <c r="C16" s="8"/>
      <c r="D16" s="9"/>
      <c r="E16" s="9"/>
      <c r="F16" s="9"/>
      <c r="G16" s="9"/>
      <c r="H16" s="9"/>
      <c r="I16" s="9" t="s">
        <v>31</v>
      </c>
      <c r="J16" s="9" t="s">
        <v>31</v>
      </c>
      <c r="K16" s="9" t="s">
        <v>31</v>
      </c>
      <c r="L16" s="9" t="s">
        <v>31</v>
      </c>
      <c r="M16" s="9" t="s">
        <v>31</v>
      </c>
      <c r="N16" s="89"/>
      <c r="O16" s="115"/>
      <c r="Q16" s="161" t="s">
        <v>944</v>
      </c>
    </row>
    <row r="17" spans="1:17" x14ac:dyDescent="0.3">
      <c r="A17" s="88"/>
      <c r="B17" s="8"/>
      <c r="C17" s="8"/>
      <c r="D17" s="9"/>
      <c r="E17" s="9"/>
      <c r="F17" s="9"/>
      <c r="G17" s="9"/>
      <c r="H17" s="9"/>
      <c r="I17" s="9" t="s">
        <v>31</v>
      </c>
      <c r="J17" s="9" t="s">
        <v>31</v>
      </c>
      <c r="K17" s="9" t="s">
        <v>31</v>
      </c>
      <c r="L17" s="9" t="s">
        <v>31</v>
      </c>
      <c r="M17" s="9" t="s">
        <v>31</v>
      </c>
      <c r="N17" s="89"/>
      <c r="O17" s="115"/>
      <c r="Q17" s="161" t="s">
        <v>945</v>
      </c>
    </row>
    <row r="18" spans="1:17" x14ac:dyDescent="0.3">
      <c r="A18" s="88"/>
      <c r="B18" s="8"/>
      <c r="C18" s="8"/>
      <c r="D18" s="9"/>
      <c r="E18" s="9"/>
      <c r="F18" s="9"/>
      <c r="G18" s="9"/>
      <c r="H18" s="9"/>
      <c r="I18" s="9" t="s">
        <v>31</v>
      </c>
      <c r="J18" s="9" t="s">
        <v>31</v>
      </c>
      <c r="K18" s="9" t="s">
        <v>31</v>
      </c>
      <c r="L18" s="9" t="s">
        <v>31</v>
      </c>
      <c r="M18" s="9" t="s">
        <v>31</v>
      </c>
      <c r="N18" s="89"/>
      <c r="O18" s="115"/>
      <c r="Q18" s="161" t="s">
        <v>946</v>
      </c>
    </row>
    <row r="19" spans="1:17" x14ac:dyDescent="0.3">
      <c r="A19" s="88"/>
      <c r="B19" s="8"/>
      <c r="C19" s="8"/>
      <c r="D19" s="9"/>
      <c r="E19" s="9"/>
      <c r="F19" s="9"/>
      <c r="G19" s="9"/>
      <c r="H19" s="9"/>
      <c r="I19" s="9" t="s">
        <v>31</v>
      </c>
      <c r="J19" s="9" t="s">
        <v>31</v>
      </c>
      <c r="K19" s="9" t="s">
        <v>31</v>
      </c>
      <c r="L19" s="9" t="s">
        <v>31</v>
      </c>
      <c r="M19" s="9" t="s">
        <v>31</v>
      </c>
      <c r="N19" s="89"/>
      <c r="O19" s="115"/>
    </row>
    <row r="20" spans="1:17" x14ac:dyDescent="0.3">
      <c r="A20" s="88"/>
      <c r="B20" s="8"/>
      <c r="C20" s="8"/>
      <c r="D20" s="9"/>
      <c r="E20" s="9"/>
      <c r="F20" s="9"/>
      <c r="G20" s="9"/>
      <c r="H20" s="9"/>
      <c r="I20" s="9" t="s">
        <v>31</v>
      </c>
      <c r="J20" s="9" t="s">
        <v>31</v>
      </c>
      <c r="K20" s="9" t="s">
        <v>31</v>
      </c>
      <c r="L20" s="9" t="s">
        <v>31</v>
      </c>
      <c r="M20" s="9" t="s">
        <v>31</v>
      </c>
      <c r="N20" s="89"/>
      <c r="O20" s="115"/>
    </row>
    <row r="21" spans="1:17" x14ac:dyDescent="0.3">
      <c r="A21" s="88"/>
      <c r="B21" s="8"/>
      <c r="C21" s="8"/>
      <c r="D21" s="9"/>
      <c r="E21" s="9"/>
      <c r="F21" s="9"/>
      <c r="G21" s="9"/>
      <c r="H21" s="9"/>
      <c r="I21" s="9" t="s">
        <v>31</v>
      </c>
      <c r="J21" s="9" t="s">
        <v>31</v>
      </c>
      <c r="K21" s="9" t="s">
        <v>31</v>
      </c>
      <c r="L21" s="9" t="s">
        <v>31</v>
      </c>
      <c r="M21" s="9" t="s">
        <v>31</v>
      </c>
      <c r="N21" s="89"/>
      <c r="O21" s="115"/>
    </row>
    <row r="23" spans="1:17" x14ac:dyDescent="0.3">
      <c r="A23" s="180" t="s">
        <v>1352</v>
      </c>
    </row>
    <row r="25" spans="1:17" x14ac:dyDescent="0.3">
      <c r="A25" t="s">
        <v>360</v>
      </c>
    </row>
    <row r="26" spans="1:17" ht="25.2" customHeight="1" x14ac:dyDescent="0.3"/>
    <row r="27" spans="1:17" ht="18" customHeight="1" x14ac:dyDescent="0.3">
      <c r="A27" s="221" t="s">
        <v>441</v>
      </c>
      <c r="B27" s="221"/>
      <c r="C27" s="221"/>
      <c r="D27" s="221"/>
      <c r="E27" s="221"/>
      <c r="F27" s="221"/>
      <c r="G27" s="221"/>
      <c r="H27" s="221"/>
      <c r="I27" s="221"/>
      <c r="J27" s="221"/>
      <c r="K27" s="221"/>
    </row>
    <row r="28" spans="1:17" ht="30.6" customHeight="1" x14ac:dyDescent="0.3">
      <c r="A28" s="249" t="s">
        <v>1354</v>
      </c>
      <c r="B28" s="249"/>
      <c r="C28" s="249"/>
      <c r="D28" s="249"/>
      <c r="E28" s="249"/>
      <c r="F28" s="249"/>
      <c r="G28" s="249"/>
      <c r="H28" s="249"/>
      <c r="I28" s="249"/>
      <c r="J28" s="249"/>
      <c r="K28" s="249"/>
      <c r="L28" s="249"/>
      <c r="M28" s="249"/>
      <c r="N28" s="249"/>
    </row>
  </sheetData>
  <mergeCells count="5">
    <mergeCell ref="A28:N28"/>
    <mergeCell ref="A1:E1"/>
    <mergeCell ref="L3:O3"/>
    <mergeCell ref="A27:K27"/>
    <mergeCell ref="C3:D3"/>
  </mergeCells>
  <conditionalFormatting sqref="I6:I21">
    <cfRule type="containsText" dxfId="11" priority="1" operator="containsText" text="High-risk">
      <formula>NOT(ISERROR(SEARCH("High-risk",I6)))</formula>
    </cfRule>
  </conditionalFormatting>
  <conditionalFormatting sqref="J6:L21">
    <cfRule type="cellIs" dxfId="10" priority="3" operator="equal">
      <formula>"Done"</formula>
    </cfRule>
  </conditionalFormatting>
  <conditionalFormatting sqref="M6:M21">
    <cfRule type="cellIs" dxfId="9" priority="2" operator="equal">
      <formula>"Very high"</formula>
    </cfRule>
    <cfRule type="cellIs" dxfId="8" priority="5" operator="equal">
      <formula>"High"</formula>
    </cfRule>
    <cfRule type="cellIs" dxfId="7" priority="6" operator="equal">
      <formula>"Medium"</formula>
    </cfRule>
    <cfRule type="cellIs" dxfId="6" priority="7" operator="equal">
      <formula>"Low"</formula>
    </cfRule>
  </conditionalFormatting>
  <dataValidations count="3">
    <dataValidation type="list" allowBlank="1" showInputMessage="1" showErrorMessage="1" sqref="M6:M21" xr:uid="{00000000-0002-0000-0400-000000000000}">
      <formula1>"(select),Low,Medium,High,Very High"</formula1>
    </dataValidation>
    <dataValidation type="list" allowBlank="1" showInputMessage="1" showErrorMessage="1" sqref="J6:L21" xr:uid="{00000000-0002-0000-0400-000001000000}">
      <formula1>"(select),Not done,Planned,In progress,Done,N/A"</formula1>
    </dataValidation>
    <dataValidation type="list" allowBlank="1" showInputMessage="1" showErrorMessage="1" sqref="I6:I21" xr:uid="{624C2394-E0FC-46A6-8D6D-2D10C5346C29}">
      <formula1>$Q$6:$Q$18</formula1>
    </dataValidation>
  </dataValidations>
  <pageMargins left="0.7" right="0.7" top="0.78740157499999996" bottom="0.78740157499999996" header="0.3" footer="0.3"/>
  <pageSetup paperSize="9" scale="59"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11</vt:i4>
      </vt:variant>
    </vt:vector>
  </HeadingPairs>
  <TitlesOfParts>
    <vt:vector size="24" baseType="lpstr">
      <vt:lpstr>Start</vt:lpstr>
      <vt:lpstr>GAIRA Light E</vt:lpstr>
      <vt:lpstr>GAIRA Light D</vt:lpstr>
      <vt:lpstr>GAIRA Comprehensive E</vt:lpstr>
      <vt:lpstr>GAIRA Comprehensive D</vt:lpstr>
      <vt:lpstr>AI Act Check E</vt:lpstr>
      <vt:lpstr>AI Act Check D</vt:lpstr>
      <vt:lpstr>Compliance Check E</vt:lpstr>
      <vt:lpstr>ROAIA E</vt:lpstr>
      <vt:lpstr>ROAIA D</vt:lpstr>
      <vt:lpstr>AI Act E</vt:lpstr>
      <vt:lpstr>AI Act D</vt:lpstr>
      <vt:lpstr>Changelog</vt:lpstr>
      <vt:lpstr>'AI Act Check D'!Druckbereich</vt:lpstr>
      <vt:lpstr>'AI Act Check E'!Druckbereich</vt:lpstr>
      <vt:lpstr>'AI Act D'!Druckbereich</vt:lpstr>
      <vt:lpstr>'AI Act E'!Druckbereich</vt:lpstr>
      <vt:lpstr>'Compliance Check E'!Druckbereich</vt:lpstr>
      <vt:lpstr>'GAIRA Comprehensive D'!Druckbereich</vt:lpstr>
      <vt:lpstr>'GAIRA Comprehensive E'!Druckbereich</vt:lpstr>
      <vt:lpstr>'GAIRA Light D'!Druckbereich</vt:lpstr>
      <vt:lpstr>'GAIRA Light E'!Druckbereich</vt:lpstr>
      <vt:lpstr>'ROAIA D'!Druckbereich</vt:lpstr>
      <vt:lpstr>'ROAIA 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VISCHER</dc:creator>
  <cp:lastModifiedBy>VISCHER</cp:lastModifiedBy>
  <cp:lastPrinted>2024-03-24T09:46:07Z</cp:lastPrinted>
  <dcterms:created xsi:type="dcterms:W3CDTF">2023-09-10T15:08:45Z</dcterms:created>
  <dcterms:modified xsi:type="dcterms:W3CDTF">2024-04-03T18:23:26Z</dcterms:modified>
</cp:coreProperties>
</file>